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DE INVERSIONES\Bonos\"/>
    </mc:Choice>
  </mc:AlternateContent>
  <xr:revisionPtr revIDLastSave="0" documentId="13_ncr:1_{FC1C4A16-D799-49DB-B014-A628EFC01107}" xr6:coauthVersionLast="45" xr6:coauthVersionMax="45" xr10:uidLastSave="{00000000-0000-0000-0000-000000000000}"/>
  <bookViews>
    <workbookView xWindow="-120" yWindow="-120" windowWidth="29040" windowHeight="15840" xr2:uid="{EC2F4372-8A76-4E07-9A2F-59335DE9FD98}"/>
  </bookViews>
  <sheets>
    <sheet name="TCO364080621" sheetId="4" r:id="rId1"/>
    <sheet name="TFIT10040522" sheetId="3" r:id="rId2"/>
    <sheet name="TFIT15260826" sheetId="2" r:id="rId3"/>
    <sheet name="TFIT16181034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4" l="1"/>
  <c r="I47" i="4"/>
  <c r="H30" i="4"/>
  <c r="H28" i="4"/>
  <c r="H29" i="4" s="1"/>
  <c r="B24" i="4"/>
  <c r="C24" i="4" s="1"/>
  <c r="D24" i="4" s="1"/>
  <c r="F24" i="4" s="1"/>
  <c r="F25" i="4" s="1"/>
  <c r="B17" i="4"/>
  <c r="B53" i="3"/>
  <c r="B51" i="3"/>
  <c r="B47" i="3"/>
  <c r="B45" i="3"/>
  <c r="B41" i="3"/>
  <c r="G24" i="4" l="1"/>
  <c r="G25" i="4" s="1"/>
  <c r="H27" i="4" s="1"/>
  <c r="H39" i="4" s="1"/>
  <c r="H24" i="4"/>
  <c r="H25" i="4" s="1"/>
  <c r="H31" i="4" s="1"/>
  <c r="H41" i="4" s="1"/>
  <c r="H40" i="4"/>
  <c r="H44" i="1"/>
  <c r="H30" i="3"/>
  <c r="H37" i="2"/>
  <c r="H65" i="1" l="1"/>
  <c r="I63" i="1"/>
  <c r="H41" i="1"/>
  <c r="H53" i="1" s="1"/>
  <c r="I56" i="2"/>
  <c r="H58" i="2"/>
  <c r="H43" i="1" l="1"/>
  <c r="H55" i="1" s="1"/>
  <c r="H34" i="2" l="1"/>
  <c r="H46" i="2" s="1"/>
  <c r="H50" i="3"/>
  <c r="F28" i="3"/>
  <c r="I48" i="3"/>
  <c r="F31" i="3"/>
  <c r="F33" i="3" s="1"/>
  <c r="F34" i="3" s="1"/>
  <c r="C25" i="3"/>
  <c r="D25" i="3" s="1"/>
  <c r="C24" i="3"/>
  <c r="D24" i="3" s="1"/>
  <c r="B18" i="3"/>
  <c r="E24" i="3" s="1"/>
  <c r="F36" i="2"/>
  <c r="F38" i="2" s="1"/>
  <c r="F33" i="2"/>
  <c r="C30" i="2"/>
  <c r="D30" i="2" s="1"/>
  <c r="C29" i="2"/>
  <c r="D29" i="2" s="1"/>
  <c r="C28" i="2"/>
  <c r="D28" i="2" s="1"/>
  <c r="C27" i="2"/>
  <c r="D27" i="2" s="1"/>
  <c r="C26" i="2"/>
  <c r="D26" i="2" s="1"/>
  <c r="C25" i="2"/>
  <c r="D25" i="2" s="1"/>
  <c r="C24" i="2"/>
  <c r="D24" i="2" s="1"/>
  <c r="B18" i="2"/>
  <c r="H36" i="2" l="1"/>
  <c r="H29" i="3"/>
  <c r="H31" i="3"/>
  <c r="F24" i="3"/>
  <c r="F35" i="3"/>
  <c r="E25" i="3"/>
  <c r="F25" i="3" s="1"/>
  <c r="F39" i="2"/>
  <c r="F40" i="2" s="1"/>
  <c r="E25" i="2"/>
  <c r="F25" i="2" s="1"/>
  <c r="E27" i="2"/>
  <c r="F27" i="2" s="1"/>
  <c r="E30" i="2"/>
  <c r="F30" i="2" s="1"/>
  <c r="E26" i="2"/>
  <c r="F26" i="2" s="1"/>
  <c r="E24" i="2"/>
  <c r="F24" i="2" s="1"/>
  <c r="E29" i="2"/>
  <c r="F29" i="2" s="1"/>
  <c r="E28" i="2"/>
  <c r="F28" i="2" s="1"/>
  <c r="F43" i="1"/>
  <c r="F45" i="1" s="1"/>
  <c r="F40" i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B17" i="1"/>
  <c r="E36" i="1" s="1"/>
  <c r="H48" i="2" l="1"/>
  <c r="H28" i="2"/>
  <c r="G28" i="2"/>
  <c r="H27" i="2"/>
  <c r="G27" i="2"/>
  <c r="H29" i="2"/>
  <c r="G29" i="2"/>
  <c r="H26" i="2"/>
  <c r="G26" i="2"/>
  <c r="H25" i="2"/>
  <c r="G25" i="2"/>
  <c r="H24" i="2"/>
  <c r="G24" i="2"/>
  <c r="G30" i="2"/>
  <c r="H30" i="2"/>
  <c r="H25" i="3"/>
  <c r="G25" i="3"/>
  <c r="H24" i="3"/>
  <c r="G24" i="3"/>
  <c r="G26" i="3" s="1"/>
  <c r="F26" i="3"/>
  <c r="E35" i="1"/>
  <c r="F35" i="1" s="1"/>
  <c r="E27" i="1"/>
  <c r="F27" i="1" s="1"/>
  <c r="F36" i="1"/>
  <c r="E33" i="1"/>
  <c r="F33" i="1" s="1"/>
  <c r="F31" i="2"/>
  <c r="E29" i="1"/>
  <c r="F29" i="1" s="1"/>
  <c r="E31" i="1"/>
  <c r="F31" i="1" s="1"/>
  <c r="E37" i="1"/>
  <c r="F37" i="1" s="1"/>
  <c r="E23" i="1"/>
  <c r="F23" i="1" s="1"/>
  <c r="E25" i="1"/>
  <c r="F25" i="1" s="1"/>
  <c r="F46" i="1"/>
  <c r="F47" i="1" s="1"/>
  <c r="E24" i="1"/>
  <c r="F24" i="1" s="1"/>
  <c r="E26" i="1"/>
  <c r="F26" i="1" s="1"/>
  <c r="E28" i="1"/>
  <c r="F28" i="1" s="1"/>
  <c r="E30" i="1"/>
  <c r="F30" i="1" s="1"/>
  <c r="E32" i="1"/>
  <c r="F32" i="1" s="1"/>
  <c r="E34" i="1"/>
  <c r="F34" i="1" s="1"/>
  <c r="H36" i="1" l="1"/>
  <c r="G36" i="1"/>
  <c r="H24" i="1"/>
  <c r="G24" i="1"/>
  <c r="G32" i="1"/>
  <c r="H32" i="1"/>
  <c r="H35" i="1"/>
  <c r="G35" i="1"/>
  <c r="H25" i="1"/>
  <c r="G25" i="1"/>
  <c r="G33" i="1"/>
  <c r="H33" i="1"/>
  <c r="G27" i="1"/>
  <c r="H27" i="1"/>
  <c r="H23" i="1"/>
  <c r="G23" i="1"/>
  <c r="G31" i="1"/>
  <c r="H31" i="1"/>
  <c r="H30" i="1"/>
  <c r="G30" i="1"/>
  <c r="H26" i="1"/>
  <c r="G26" i="1"/>
  <c r="H37" i="1"/>
  <c r="G37" i="1"/>
  <c r="G29" i="1"/>
  <c r="H29" i="1"/>
  <c r="H28" i="1"/>
  <c r="G28" i="1"/>
  <c r="H34" i="1"/>
  <c r="G34" i="1"/>
  <c r="H31" i="2"/>
  <c r="H38" i="2" s="1"/>
  <c r="H50" i="2" s="1"/>
  <c r="G31" i="2"/>
  <c r="H33" i="2" s="1"/>
  <c r="H28" i="3"/>
  <c r="H26" i="3"/>
  <c r="H32" i="3" s="1"/>
  <c r="H40" i="3"/>
  <c r="F38" i="1"/>
  <c r="G38" i="1" l="1"/>
  <c r="H40" i="1" s="1"/>
  <c r="H38" i="1"/>
  <c r="H45" i="1" s="1"/>
  <c r="H45" i="2"/>
  <c r="H35" i="2"/>
  <c r="H42" i="3"/>
  <c r="H41" i="3"/>
  <c r="H42" i="1" l="1"/>
  <c r="H52" i="1"/>
  <c r="H47" i="2"/>
  <c r="H49" i="2"/>
  <c r="H57" i="1" l="1"/>
  <c r="H56" i="1"/>
  <c r="H54" i="1"/>
</calcChain>
</file>

<file path=xl/sharedStrings.xml><?xml version="1.0" encoding="utf-8"?>
<sst xmlns="http://schemas.openxmlformats.org/spreadsheetml/2006/main" count="375" uniqueCount="101">
  <si>
    <t>CANTIDAD</t>
  </si>
  <si>
    <t>VOLUMEN</t>
  </si>
  <si>
    <t>TFIT16181034</t>
  </si>
  <si>
    <t>GNA</t>
  </si>
  <si>
    <t>Nemotécnico:</t>
  </si>
  <si>
    <t>Código Superfinanciera:</t>
  </si>
  <si>
    <t>COL08TTTF004</t>
  </si>
  <si>
    <t>Tipo de Título</t>
  </si>
  <si>
    <t>TES</t>
  </si>
  <si>
    <t>ISIN:</t>
  </si>
  <si>
    <t>COL17CT03615</t>
  </si>
  <si>
    <t>Emisor:</t>
  </si>
  <si>
    <t>Fecha Emisión:</t>
  </si>
  <si>
    <t>Fecha Vencimiento:</t>
  </si>
  <si>
    <t>Modalidad de Pago:</t>
  </si>
  <si>
    <t>AV</t>
  </si>
  <si>
    <t>Estado:</t>
  </si>
  <si>
    <t>A</t>
  </si>
  <si>
    <t>Moneda:</t>
  </si>
  <si>
    <t>COP</t>
  </si>
  <si>
    <t>Tasa de Referencia:</t>
  </si>
  <si>
    <t>FS</t>
  </si>
  <si>
    <t>Tasa Cupón:</t>
  </si>
  <si>
    <t>7.25</t>
  </si>
  <si>
    <t>Referencia</t>
  </si>
  <si>
    <t>Precio sucio</t>
  </si>
  <si>
    <t>Rendimiento</t>
  </si>
  <si>
    <t>Nominal</t>
  </si>
  <si>
    <t>Tasa cupón</t>
  </si>
  <si>
    <t>Cupón</t>
  </si>
  <si>
    <t>Frecuencia cupón</t>
  </si>
  <si>
    <t>Anual</t>
  </si>
  <si>
    <t>Vencimiento</t>
  </si>
  <si>
    <t>Liquidación</t>
  </si>
  <si>
    <t>Fechas</t>
  </si>
  <si>
    <t>Días</t>
  </si>
  <si>
    <t>Años</t>
  </si>
  <si>
    <t>Flujo de Caja</t>
  </si>
  <si>
    <t>VP FC</t>
  </si>
  <si>
    <t>Próximo cupón</t>
  </si>
  <si>
    <t>ΔTIR</t>
  </si>
  <si>
    <t>ΔP/P</t>
  </si>
  <si>
    <t>Precio limpio</t>
  </si>
  <si>
    <t>Duración</t>
  </si>
  <si>
    <t>Cupón corrido</t>
  </si>
  <si>
    <t>Fecha último cupón</t>
  </si>
  <si>
    <t>DM</t>
  </si>
  <si>
    <t>Convexidad</t>
  </si>
  <si>
    <t>Días entre cupones</t>
  </si>
  <si>
    <t>Días último cupón</t>
  </si>
  <si>
    <t>TIR</t>
  </si>
  <si>
    <t>TIR + ΔTIR</t>
  </si>
  <si>
    <t>Cambio real</t>
  </si>
  <si>
    <t>TFIT15260826</t>
  </si>
  <si>
    <t>COL17CT02625</t>
  </si>
  <si>
    <t>7.5</t>
  </si>
  <si>
    <t>HORA</t>
  </si>
  <si>
    <t>PRECIO SUCIO</t>
  </si>
  <si>
    <t>TASA</t>
  </si>
  <si>
    <t>TIPO</t>
  </si>
  <si>
    <t>TIPO PLAZO</t>
  </si>
  <si>
    <t>TASA CUPON</t>
  </si>
  <si>
    <t>MOD. PAGO</t>
  </si>
  <si>
    <t>EMISION</t>
  </si>
  <si>
    <t>VENCIMIENTO</t>
  </si>
  <si>
    <t>SESIÓN</t>
  </si>
  <si>
    <t>MERCADO</t>
  </si>
  <si>
    <t>C</t>
  </si>
  <si>
    <t>7.0</t>
  </si>
  <si>
    <t>S</t>
  </si>
  <si>
    <t>TFIT10040522</t>
  </si>
  <si>
    <t>COL17CT02864</t>
  </si>
  <si>
    <t>2.68</t>
  </si>
  <si>
    <t>Simultaneas</t>
  </si>
  <si>
    <t>ASIM</t>
  </si>
  <si>
    <t>4.45</t>
  </si>
  <si>
    <t>Última operación de Compraventa: 2020-08-03 12:26</t>
  </si>
  <si>
    <t>ASCR</t>
  </si>
  <si>
    <t>Última operación de Compraventa: 2020-08-03 13:22</t>
  </si>
  <si>
    <t>Última operación de Compraventa: 2020-08-03 11:42</t>
  </si>
  <si>
    <t>6.58</t>
  </si>
  <si>
    <t>Años × VP FC</t>
  </si>
  <si>
    <t>años</t>
  </si>
  <si>
    <r>
      <t>VP FC × (t</t>
    </r>
    <r>
      <rPr>
        <b/>
        <vertAlign val="superscript"/>
        <sz val="11"/>
        <color theme="1"/>
        <rFont val="Tahoma"/>
        <family val="2"/>
      </rPr>
      <t xml:space="preserve">2 </t>
    </r>
    <r>
      <rPr>
        <b/>
        <sz val="11"/>
        <color theme="1"/>
        <rFont val="Tahoma"/>
        <family val="2"/>
      </rPr>
      <t>+ t)</t>
    </r>
  </si>
  <si>
    <t>Cambio en el precio</t>
  </si>
  <si>
    <t>Con Duración</t>
  </si>
  <si>
    <t>Con DM</t>
  </si>
  <si>
    <t>Con Convexidad</t>
  </si>
  <si>
    <t>año bisiesto</t>
  </si>
  <si>
    <t>Inversión</t>
  </si>
  <si>
    <r>
      <rPr>
        <sz val="11"/>
        <color theme="1"/>
        <rFont val="Calibri"/>
        <family val="2"/>
      </rPr>
      <t>Δ</t>
    </r>
    <r>
      <rPr>
        <sz val="11"/>
        <color theme="1"/>
        <rFont val="Tahoma"/>
        <family val="2"/>
      </rPr>
      <t>TIR = 0,1%</t>
    </r>
  </si>
  <si>
    <t>% cambio en precio</t>
  </si>
  <si>
    <r>
      <rPr>
        <sz val="11"/>
        <color theme="1"/>
        <rFont val="Calibri"/>
        <family val="2"/>
      </rPr>
      <t>Δ</t>
    </r>
    <r>
      <rPr>
        <sz val="11"/>
        <color theme="1"/>
        <rFont val="Tahoma"/>
        <family val="2"/>
      </rPr>
      <t>TIR = -0,1%</t>
    </r>
  </si>
  <si>
    <t>Última operación de Compraventa: 2020-08-03</t>
  </si>
  <si>
    <t>2.33</t>
  </si>
  <si>
    <t>0.0</t>
  </si>
  <si>
    <t>NO</t>
  </si>
  <si>
    <t>TCO364080621</t>
  </si>
  <si>
    <t>COL08TTTT013</t>
  </si>
  <si>
    <t>COL17CT03706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</si>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</sst>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\ #,##0;[Red]\-&quot;$&quot;\ #,##0"/>
    <numFmt numFmtId="44" formatCode="_-&quot;$&quot;\ * #,##0.00_-;\-&quot;$&quot;\ * #,##0.00_-;_-&quot;$&quot;\ * &quot;-&quot;??_-;_-@_-"/>
    <numFmt numFmtId="164" formatCode="0.000"/>
    <numFmt numFmtId="165" formatCode="0.0%"/>
    <numFmt numFmtId="166" formatCode="&quot;$&quot;\ #,##0.000;[Red]\-&quot;$&quot;\ #,##0.000"/>
    <numFmt numFmtId="167" formatCode="0.00000000"/>
    <numFmt numFmtId="168" formatCode="0.0000%"/>
    <numFmt numFmtId="169" formatCode="0.0000"/>
    <numFmt numFmtId="170" formatCode="0.00000%"/>
    <numFmt numFmtId="171" formatCode="0.000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1C6CB3"/>
      <name val="Arial"/>
      <family val="2"/>
    </font>
    <font>
      <sz val="8"/>
      <color rgb="FF838486"/>
      <name val="Arial"/>
      <family val="2"/>
    </font>
    <font>
      <sz val="9"/>
      <color rgb="FF494949"/>
      <name val="Arial"/>
      <family val="2"/>
    </font>
    <font>
      <sz val="9"/>
      <color rgb="FF0257A8"/>
      <name val="Arial"/>
      <family val="2"/>
    </font>
    <font>
      <sz val="9"/>
      <color rgb="FF717171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vertAlign val="superscript"/>
      <sz val="11"/>
      <color theme="1"/>
      <name val="Tahoma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F0FE"/>
        <bgColor indexed="64"/>
      </patternFill>
    </fill>
    <fill>
      <patternFill patternType="solid">
        <fgColor rgb="FFFAFE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E3E7E8"/>
      </bottom>
      <diagonal/>
    </border>
    <border>
      <left style="medium">
        <color rgb="FFE3E7E8"/>
      </left>
      <right style="medium">
        <color rgb="FFE3E7E8"/>
      </right>
      <top style="medium">
        <color rgb="FFE3E7E8"/>
      </top>
      <bottom style="medium">
        <color rgb="FFE3E7E8"/>
      </bottom>
      <diagonal/>
    </border>
    <border>
      <left/>
      <right style="medium">
        <color rgb="FFE3E7E8"/>
      </right>
      <top style="medium">
        <color rgb="FFE3E7E8"/>
      </top>
      <bottom style="medium">
        <color rgb="FFE3E7E8"/>
      </bottom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14" fontId="7" fillId="5" borderId="4" xfId="0" applyNumberFormat="1" applyFont="1" applyFill="1" applyBorder="1" applyAlignment="1">
      <alignment vertical="center" wrapText="1"/>
    </xf>
    <xf numFmtId="14" fontId="0" fillId="0" borderId="0" xfId="0" applyNumberFormat="1"/>
    <xf numFmtId="10" fontId="0" fillId="0" borderId="0" xfId="2" applyNumberFormat="1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10" fontId="9" fillId="0" borderId="0" xfId="0" applyNumberFormat="1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2" applyNumberFormat="1" applyFon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166" fontId="9" fillId="0" borderId="0" xfId="0" applyNumberFormat="1" applyFont="1"/>
    <xf numFmtId="44" fontId="0" fillId="0" borderId="0" xfId="1" applyFont="1"/>
    <xf numFmtId="167" fontId="0" fillId="0" borderId="0" xfId="0" applyNumberFormat="1"/>
    <xf numFmtId="6" fontId="9" fillId="0" borderId="0" xfId="0" applyNumberFormat="1" applyFont="1"/>
    <xf numFmtId="165" fontId="9" fillId="0" borderId="0" xfId="0" applyNumberFormat="1" applyFont="1" applyAlignment="1">
      <alignment horizontal="center"/>
    </xf>
    <xf numFmtId="21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7" xfId="0" applyFont="1" applyBorder="1"/>
    <xf numFmtId="14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0" fillId="0" borderId="8" xfId="0" applyBorder="1"/>
    <xf numFmtId="0" fontId="9" fillId="0" borderId="12" xfId="0" applyFont="1" applyBorder="1" applyAlignment="1">
      <alignment horizontal="center" vertical="center"/>
    </xf>
    <xf numFmtId="0" fontId="0" fillId="0" borderId="10" xfId="0" applyBorder="1"/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65" fontId="9" fillId="0" borderId="8" xfId="2" applyNumberFormat="1" applyFont="1" applyBorder="1" applyAlignment="1">
      <alignment horizontal="center" vertical="center"/>
    </xf>
    <xf numFmtId="168" fontId="9" fillId="0" borderId="8" xfId="2" applyNumberFormat="1" applyFont="1" applyBorder="1" applyAlignment="1">
      <alignment horizontal="center" vertical="center"/>
    </xf>
    <xf numFmtId="168" fontId="9" fillId="0" borderId="10" xfId="2" applyNumberFormat="1" applyFont="1" applyBorder="1" applyAlignment="1">
      <alignment horizontal="center" vertical="center"/>
    </xf>
    <xf numFmtId="170" fontId="9" fillId="0" borderId="10" xfId="2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170" fontId="9" fillId="0" borderId="12" xfId="0" applyNumberFormat="1" applyFont="1" applyBorder="1" applyAlignment="1">
      <alignment horizontal="center" vertical="center"/>
    </xf>
    <xf numFmtId="169" fontId="9" fillId="0" borderId="11" xfId="0" applyNumberFormat="1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/>
    </xf>
    <xf numFmtId="10" fontId="9" fillId="0" borderId="8" xfId="0" applyNumberFormat="1" applyFont="1" applyBorder="1" applyAlignment="1">
      <alignment horizontal="center"/>
    </xf>
    <xf numFmtId="168" fontId="0" fillId="0" borderId="0" xfId="0" applyNumberFormat="1"/>
    <xf numFmtId="171" fontId="0" fillId="0" borderId="0" xfId="0" applyNumberFormat="1"/>
    <xf numFmtId="0" fontId="9" fillId="0" borderId="8" xfId="0" applyFont="1" applyBorder="1"/>
    <xf numFmtId="0" fontId="9" fillId="0" borderId="10" xfId="0" applyFont="1" applyBorder="1"/>
    <xf numFmtId="14" fontId="9" fillId="6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6" fontId="9" fillId="0" borderId="0" xfId="1" applyNumberFormat="1" applyFont="1" applyAlignment="1">
      <alignment horizontal="center" vertical="center"/>
    </xf>
    <xf numFmtId="170" fontId="9" fillId="0" borderId="0" xfId="2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59531</xdr:colOff>
      <xdr:row>10</xdr:row>
      <xdr:rowOff>122299</xdr:rowOff>
    </xdr:from>
    <xdr:to>
      <xdr:col>6</xdr:col>
      <xdr:colOff>165145</xdr:colOff>
      <xdr:row>19</xdr:row>
      <xdr:rowOff>54203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DBAB85-177D-448F-B071-8E6A24AAB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7556" y="2846449"/>
          <a:ext cx="3258389" cy="1951204"/>
        </a:xfrm>
        <a:prstGeom prst="rect">
          <a:avLst/>
        </a:prstGeom>
      </xdr:spPr>
    </xdr:pic>
    <xdr:clientData/>
  </xdr:twoCellAnchor>
  <xdr:twoCellAnchor>
    <xdr:from>
      <xdr:col>9</xdr:col>
      <xdr:colOff>488838</xdr:colOff>
      <xdr:row>25</xdr:row>
      <xdr:rowOff>71436</xdr:rowOff>
    </xdr:from>
    <xdr:to>
      <xdr:col>11</xdr:col>
      <xdr:colOff>637442</xdr:colOff>
      <xdr:row>28</xdr:row>
      <xdr:rowOff>2069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2745178-710F-46E2-9D99-CC4BF1B9D2A1}"/>
                </a:ext>
              </a:extLst>
            </xdr:cNvPr>
            <xdr:cNvSpPr txBox="1"/>
          </xdr:nvSpPr>
          <xdr:spPr>
            <a:xfrm>
              <a:off x="9984072" y="6054327"/>
              <a:ext cx="1672604" cy="609289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nor/>
                            <m:brk m:alnAt="23"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=1</m:t>
                        </m:r>
                      </m:sub>
                      <m:sup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sup>
                      <m:e>
                        <m:f>
                          <m:fPr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×</m:t>
                            </m:r>
                            <m:f>
                              <m:f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s-MX" sz="1050" b="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F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C</m:t>
                                    </m:r>
                                  </m:e>
                                  <m:sub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b>
                                </m:sSub>
                              </m:num>
                              <m:den>
                                <m:sSup>
                                  <m:sSup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s-CO" sz="105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m:rPr>
                                            <m:nor/>
                                          </m:rPr>
                                          <a:rPr lang="es-CO" sz="105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1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MX" sz="1050" b="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 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CO" sz="105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+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MX" sz="1050" b="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 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CO" sz="105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TIR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p>
                                </m:sSup>
                              </m:den>
                            </m:f>
                          </m:num>
                          <m:den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P</m:t>
                            </m:r>
                          </m:den>
                        </m:f>
                      </m:e>
                    </m:nary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2745178-710F-46E2-9D99-CC4BF1B9D2A1}"/>
                </a:ext>
              </a:extLst>
            </xdr:cNvPr>
            <xdr:cNvSpPr txBox="1"/>
          </xdr:nvSpPr>
          <xdr:spPr>
            <a:xfrm>
              <a:off x="9984072" y="6054327"/>
              <a:ext cx="1672604" cy="609289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=" </a:t>
              </a:r>
              <a:r>
                <a:rPr lang="es-CO" sz="1050" i="0">
                  <a:latin typeface="Cambria Math" panose="02040503050406030204" pitchFamily="18" charset="0"/>
                </a:rPr>
                <a:t>∑_"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t=1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▒("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 〖</a:t>
              </a:r>
              <a:r>
                <a:rPr lang="es-MX" sz="105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〗_"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/("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)/"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9</xdr:col>
      <xdr:colOff>428966</xdr:colOff>
      <xdr:row>29</xdr:row>
      <xdr:rowOff>65144</xdr:rowOff>
    </xdr:from>
    <xdr:to>
      <xdr:col>11</xdr:col>
      <xdr:colOff>685388</xdr:colOff>
      <xdr:row>30</xdr:row>
      <xdr:rowOff>161276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2">
              <a:extLst>
                <a:ext uri="{FF2B5EF4-FFF2-40B4-BE49-F238E27FC236}">
                  <a16:creationId xmlns:a16="http://schemas.microsoft.com/office/drawing/2014/main" id="{4C5113FB-166D-4AF9-9002-5E0142EB8CAD}"/>
                </a:ext>
              </a:extLst>
            </xdr:cNvPr>
            <xdr:cNvSpPr txBox="1"/>
          </xdr:nvSpPr>
          <xdr:spPr>
            <a:xfrm>
              <a:off x="9924200" y="6952910"/>
              <a:ext cx="1780422" cy="32235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DM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Duraci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</m:den>
                    </m:f>
                    <m:r>
                      <a:rPr lang="es-MX" sz="105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  <m:r>
                          <m:rPr>
                            <m:nor/>
                          </m:rPr>
                          <a:rPr lang="es-MX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</m:den>
                    </m:f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2">
              <a:extLst>
                <a:ext uri="{FF2B5EF4-FFF2-40B4-BE49-F238E27FC236}">
                  <a16:creationId xmlns:a16="http://schemas.microsoft.com/office/drawing/2014/main" id="{4C5113FB-166D-4AF9-9002-5E0142EB8CAD}"/>
                </a:ext>
              </a:extLst>
            </xdr:cNvPr>
            <xdr:cNvSpPr txBox="1"/>
          </xdr:nvSpPr>
          <xdr:spPr>
            <a:xfrm>
              <a:off x="9924200" y="6952910"/>
              <a:ext cx="1780422" cy="32235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"DM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"Duración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</a:rPr>
                <a:t>=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"D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619126</xdr:colOff>
      <xdr:row>31</xdr:row>
      <xdr:rowOff>162776</xdr:rowOff>
    </xdr:from>
    <xdr:to>
      <xdr:col>13</xdr:col>
      <xdr:colOff>633347</xdr:colOff>
      <xdr:row>33</xdr:row>
      <xdr:rowOff>204276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uadroTexto 17">
              <a:extLst>
                <a:ext uri="{FF2B5EF4-FFF2-40B4-BE49-F238E27FC236}">
                  <a16:creationId xmlns:a16="http://schemas.microsoft.com/office/drawing/2014/main" id="{AD83D4E2-0ECC-4595-B7CB-9DB8696E338F}"/>
                </a:ext>
              </a:extLst>
            </xdr:cNvPr>
            <xdr:cNvSpPr txBox="1"/>
          </xdr:nvSpPr>
          <xdr:spPr>
            <a:xfrm>
              <a:off x="9352360" y="7502979"/>
              <a:ext cx="3824221" cy="49393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Convexidad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  <m:sSup>
                          <m:sSupPr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(1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+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TIR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)</m:t>
                            </m:r>
                          </m:e>
                          <m:sup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nary>
                      <m:naryPr>
                        <m:chr m:val="∑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nor/>
                            <m:brk m:alnAt="23"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=1</m:t>
                        </m:r>
                      </m:sub>
                      <m:sup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sup>
                      <m:e>
                        <m:d>
                          <m:dPr>
                            <m:begChr m:val="["/>
                            <m:endChr m:val="]"/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F</m:t>
                                </m:r>
                                <m:sSub>
                                  <m:sSub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C</m:t>
                                    </m:r>
                                  </m:e>
                                  <m:sub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b>
                                </m:sSub>
                              </m:num>
                              <m:den>
                                <m:sSup>
                                  <m:sSup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(1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MX" sz="1050" b="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 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MX" sz="1050" b="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 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TIR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p>
                                </m:sSup>
                              </m:den>
                            </m:f>
                            <m:r>
                              <m:rPr>
                                <m:nor/>
                              </m:rPr>
                              <a:rPr lang="es-MX" sz="1050" b="0" i="0"/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×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(</m:t>
                            </m:r>
                            <m:sSup>
                              <m:sSup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nor/>
                                  </m:rPr>
                                  <a:rPr lang="es-CO" sz="105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</m:t>
                                </m:r>
                              </m:e>
                              <m:sup>
                                <m:r>
                                  <m:rPr>
                                    <m:nor/>
                                  </m:rPr>
                                  <a:rPr lang="es-CO" sz="105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m:rPr>
                                <m:nor/>
                              </m:rPr>
                              <a:rPr lang="es-MX" sz="1050" b="0" i="0"/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+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)</m:t>
                            </m:r>
                          </m:e>
                        </m:d>
                      </m:e>
                    </m:nary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6" name="CuadroTexto 17">
              <a:extLst>
                <a:ext uri="{FF2B5EF4-FFF2-40B4-BE49-F238E27FC236}">
                  <a16:creationId xmlns:a16="http://schemas.microsoft.com/office/drawing/2014/main" id="{AD83D4E2-0ECC-4595-B7CB-9DB8696E338F}"/>
                </a:ext>
              </a:extLst>
            </xdr:cNvPr>
            <xdr:cNvSpPr txBox="1"/>
          </xdr:nvSpPr>
          <xdr:spPr>
            <a:xfrm>
              <a:off x="9352360" y="7502979"/>
              <a:ext cx="3824221" cy="49393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"Convexidad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= C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 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/(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〖"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) </a:t>
              </a:r>
              <a:r>
                <a:rPr lang="es-CO" sz="1050" i="0">
                  <a:latin typeface="Cambria Math" panose="02040503050406030204" pitchFamily="18" charset="0"/>
                </a:rPr>
                <a:t>∑_"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t=1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▒[(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)/〖"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/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/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318237</xdr:colOff>
      <xdr:row>37</xdr:row>
      <xdr:rowOff>163455</xdr:rowOff>
    </xdr:from>
    <xdr:to>
      <xdr:col>10</xdr:col>
      <xdr:colOff>239932</xdr:colOff>
      <xdr:row>39</xdr:row>
      <xdr:rowOff>20655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11">
              <a:extLst>
                <a:ext uri="{FF2B5EF4-FFF2-40B4-BE49-F238E27FC236}">
                  <a16:creationId xmlns:a16="http://schemas.microsoft.com/office/drawing/2014/main" id="{0580EFA2-A127-458A-B93B-CCC3BA0264AC}"/>
                </a:ext>
              </a:extLst>
            </xdr:cNvPr>
            <xdr:cNvSpPr txBox="1"/>
          </xdr:nvSpPr>
          <xdr:spPr>
            <a:xfrm>
              <a:off x="9247925" y="8860971"/>
              <a:ext cx="1445695" cy="30963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den>
                    </m:f>
                    <m:r>
                      <m:rPr>
                        <m:nor/>
                      </m:rPr>
                      <a:rPr lang="es-MX" sz="1050" b="0" i="0"/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DM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∆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TIR</m:t>
                    </m:r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11">
              <a:extLst>
                <a:ext uri="{FF2B5EF4-FFF2-40B4-BE49-F238E27FC236}">
                  <a16:creationId xmlns:a16="http://schemas.microsoft.com/office/drawing/2014/main" id="{0580EFA2-A127-458A-B93B-CCC3BA0264AC}"/>
                </a:ext>
              </a:extLst>
            </xdr:cNvPr>
            <xdr:cNvSpPr txBox="1"/>
          </xdr:nvSpPr>
          <xdr:spPr>
            <a:xfrm>
              <a:off x="9247925" y="8860971"/>
              <a:ext cx="1445695" cy="30963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"∆P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DM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∆TIR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220265</xdr:colOff>
      <xdr:row>35</xdr:row>
      <xdr:rowOff>136922</xdr:rowOff>
    </xdr:from>
    <xdr:to>
      <xdr:col>10</xdr:col>
      <xdr:colOff>386888</xdr:colOff>
      <xdr:row>37</xdr:row>
      <xdr:rowOff>21179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3">
              <a:extLst>
                <a:ext uri="{FF2B5EF4-FFF2-40B4-BE49-F238E27FC236}">
                  <a16:creationId xmlns:a16="http://schemas.microsoft.com/office/drawing/2014/main" id="{247BBCE8-F8EC-4460-A66C-C7BC1E591011}"/>
                </a:ext>
              </a:extLst>
            </xdr:cNvPr>
            <xdr:cNvSpPr txBox="1"/>
          </xdr:nvSpPr>
          <xdr:spPr>
            <a:xfrm>
              <a:off x="9149953" y="8382000"/>
              <a:ext cx="1690623" cy="33669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den>
                    </m:f>
                    <m:r>
                      <m:rPr>
                        <m:nor/>
                      </m:rPr>
                      <a:rPr lang="es-MX" sz="1050" b="0" i="0"/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(1</m:t>
                        </m:r>
                        <m:r>
                          <m:rPr>
                            <m:nor/>
                          </m:rPr>
                          <a:rPr lang="es-MX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8" name="CuadroTexto 3">
              <a:extLst>
                <a:ext uri="{FF2B5EF4-FFF2-40B4-BE49-F238E27FC236}">
                  <a16:creationId xmlns:a16="http://schemas.microsoft.com/office/drawing/2014/main" id="{247BBCE8-F8EC-4460-A66C-C7BC1E591011}"/>
                </a:ext>
              </a:extLst>
            </xdr:cNvPr>
            <xdr:cNvSpPr txBox="1"/>
          </xdr:nvSpPr>
          <xdr:spPr>
            <a:xfrm>
              <a:off x="9149953" y="8382000"/>
              <a:ext cx="1690623" cy="33669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"∆P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"∆TIR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301908</xdr:colOff>
      <xdr:row>39</xdr:row>
      <xdr:rowOff>86576</xdr:rowOff>
    </xdr:from>
    <xdr:to>
      <xdr:col>11</xdr:col>
      <xdr:colOff>705245</xdr:colOff>
      <xdr:row>41</xdr:row>
      <xdr:rowOff>36428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10 CuadroTexto">
              <a:extLst>
                <a:ext uri="{FF2B5EF4-FFF2-40B4-BE49-F238E27FC236}">
                  <a16:creationId xmlns:a16="http://schemas.microsoft.com/office/drawing/2014/main" id="{868ACAA0-ACB9-4F87-AE60-453582CD0199}"/>
                </a:ext>
              </a:extLst>
            </xdr:cNvPr>
            <xdr:cNvSpPr txBox="1"/>
          </xdr:nvSpPr>
          <xdr:spPr>
            <a:xfrm>
              <a:off x="9231596" y="9236529"/>
              <a:ext cx="2689337" cy="4022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den>
                    </m:f>
                    <m:r>
                      <m:rPr>
                        <m:nor/>
                      </m:rPr>
                      <a:rPr lang="es-MX" sz="105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DM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∆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TIR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2</m:t>
                        </m:r>
                      </m:den>
                    </m:f>
                    <m:r>
                      <m:rPr>
                        <m:nor/>
                      </m:rPr>
                      <a:rPr lang="es-MX" sz="1050" b="0" i="0">
                        <a:latin typeface="Cambria Math" panose="02040503050406030204" pitchFamily="18" charset="0"/>
                        <a:ea typeface="Cambria Math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sSup>
                      <m:sSupPr>
                        <m:ctrlPr>
                          <a:rPr lang="es-CO" sz="105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CO" sz="105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∆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TIR</m:t>
                            </m:r>
                          </m:e>
                        </m:d>
                      </m:e>
                      <m:sup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9" name="10 CuadroTexto">
              <a:extLst>
                <a:ext uri="{FF2B5EF4-FFF2-40B4-BE49-F238E27FC236}">
                  <a16:creationId xmlns:a16="http://schemas.microsoft.com/office/drawing/2014/main" id="{868ACAA0-ACB9-4F87-AE60-453582CD0199}"/>
                </a:ext>
              </a:extLst>
            </xdr:cNvPr>
            <xdr:cNvSpPr txBox="1"/>
          </xdr:nvSpPr>
          <xdr:spPr>
            <a:xfrm>
              <a:off x="9231596" y="9236529"/>
              <a:ext cx="2689337" cy="4022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"∆P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DM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∆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TIR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  <a:ea typeface="Cambria Math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C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/>
                </a:rPr>
                <a:t>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∆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r>
                <a:rPr lang="es-CO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65315</xdr:colOff>
      <xdr:row>26</xdr:row>
      <xdr:rowOff>70756</xdr:rowOff>
    </xdr:from>
    <xdr:to>
      <xdr:col>11</xdr:col>
      <xdr:colOff>213919</xdr:colOff>
      <xdr:row>28</xdr:row>
      <xdr:rowOff>168076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15A4B401-CA63-4FF1-8F48-FBB438FED2B3}"/>
                </a:ext>
              </a:extLst>
            </xdr:cNvPr>
            <xdr:cNvSpPr txBox="1"/>
          </xdr:nvSpPr>
          <xdr:spPr>
            <a:xfrm>
              <a:off x="8637815" y="6770913"/>
              <a:ext cx="1672604" cy="608949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nor/>
                            <m:brk m:alnAt="23"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=1</m:t>
                        </m:r>
                      </m:sub>
                      <m:sup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sup>
                      <m:e>
                        <m:f>
                          <m:fPr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×</m:t>
                            </m:r>
                            <m:f>
                              <m:f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s-MX" sz="1050" b="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F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C</m:t>
                                    </m:r>
                                  </m:e>
                                  <m:sub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b>
                                </m:sSub>
                              </m:num>
                              <m:den>
                                <m:sSup>
                                  <m:sSup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s-CO" sz="105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m:rPr>
                                            <m:nor/>
                                          </m:rPr>
                                          <a:rPr lang="es-CO" sz="105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1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MX" sz="1050" b="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 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CO" sz="105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+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MX" sz="1050" b="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 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CO" sz="105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TIR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p>
                                </m:sSup>
                              </m:den>
                            </m:f>
                          </m:num>
                          <m:den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P</m:t>
                            </m:r>
                          </m:den>
                        </m:f>
                      </m:e>
                    </m:nary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15A4B401-CA63-4FF1-8F48-FBB438FED2B3}"/>
                </a:ext>
              </a:extLst>
            </xdr:cNvPr>
            <xdr:cNvSpPr txBox="1"/>
          </xdr:nvSpPr>
          <xdr:spPr>
            <a:xfrm>
              <a:off x="8637815" y="6770913"/>
              <a:ext cx="1672604" cy="608949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=" </a:t>
              </a:r>
              <a:r>
                <a:rPr lang="es-CO" sz="1050" i="0">
                  <a:latin typeface="Cambria Math" panose="02040503050406030204" pitchFamily="18" charset="0"/>
                </a:rPr>
                <a:t>∑_"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t=1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▒("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 〖</a:t>
              </a:r>
              <a:r>
                <a:rPr lang="es-MX" sz="105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〗_"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/("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)/"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9</xdr:col>
      <xdr:colOff>5443</xdr:colOff>
      <xdr:row>29</xdr:row>
      <xdr:rowOff>201385</xdr:rowOff>
    </xdr:from>
    <xdr:to>
      <xdr:col>11</xdr:col>
      <xdr:colOff>261865</xdr:colOff>
      <xdr:row>31</xdr:row>
      <xdr:rowOff>11767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2">
              <a:extLst>
                <a:ext uri="{FF2B5EF4-FFF2-40B4-BE49-F238E27FC236}">
                  <a16:creationId xmlns:a16="http://schemas.microsoft.com/office/drawing/2014/main" id="{2F10C7A5-BB3F-47F9-A86E-298AD1F5C177}"/>
                </a:ext>
              </a:extLst>
            </xdr:cNvPr>
            <xdr:cNvSpPr txBox="1"/>
          </xdr:nvSpPr>
          <xdr:spPr>
            <a:xfrm>
              <a:off x="8605157" y="7668985"/>
              <a:ext cx="1780422" cy="32201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DM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Duraci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</m:den>
                    </m:f>
                    <m:r>
                      <a:rPr lang="es-MX" sz="105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  <m:r>
                          <m:rPr>
                            <m:nor/>
                          </m:rPr>
                          <a:rPr lang="es-MX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</m:den>
                    </m:f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2">
              <a:extLst>
                <a:ext uri="{FF2B5EF4-FFF2-40B4-BE49-F238E27FC236}">
                  <a16:creationId xmlns:a16="http://schemas.microsoft.com/office/drawing/2014/main" id="{2F10C7A5-BB3F-47F9-A86E-298AD1F5C177}"/>
                </a:ext>
              </a:extLst>
            </xdr:cNvPr>
            <xdr:cNvSpPr txBox="1"/>
          </xdr:nvSpPr>
          <xdr:spPr>
            <a:xfrm>
              <a:off x="8605157" y="7668985"/>
              <a:ext cx="1780422" cy="32201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"DM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"Duración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</a:rPr>
                <a:t>=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"D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136072</xdr:colOff>
      <xdr:row>40</xdr:row>
      <xdr:rowOff>54428</xdr:rowOff>
    </xdr:from>
    <xdr:to>
      <xdr:col>9</xdr:col>
      <xdr:colOff>688798</xdr:colOff>
      <xdr:row>41</xdr:row>
      <xdr:rowOff>173565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11">
              <a:extLst>
                <a:ext uri="{FF2B5EF4-FFF2-40B4-BE49-F238E27FC236}">
                  <a16:creationId xmlns:a16="http://schemas.microsoft.com/office/drawing/2014/main" id="{EBB5DD77-074B-44E3-B42B-722F89F17186}"/>
                </a:ext>
              </a:extLst>
            </xdr:cNvPr>
            <xdr:cNvSpPr txBox="1"/>
          </xdr:nvSpPr>
          <xdr:spPr>
            <a:xfrm>
              <a:off x="8632372" y="10009414"/>
              <a:ext cx="1314726" cy="30963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den>
                    </m:f>
                    <m:r>
                      <m:rPr>
                        <m:nor/>
                      </m:rPr>
                      <a:rPr lang="es-MX" sz="1050" b="0" i="0"/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DM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∆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TIR</m:t>
                    </m:r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8" name="CuadroTexto 11">
              <a:extLst>
                <a:ext uri="{FF2B5EF4-FFF2-40B4-BE49-F238E27FC236}">
                  <a16:creationId xmlns:a16="http://schemas.microsoft.com/office/drawing/2014/main" id="{EBB5DD77-074B-44E3-B42B-722F89F17186}"/>
                </a:ext>
              </a:extLst>
            </xdr:cNvPr>
            <xdr:cNvSpPr txBox="1"/>
          </xdr:nvSpPr>
          <xdr:spPr>
            <a:xfrm>
              <a:off x="8632372" y="10009414"/>
              <a:ext cx="1314726" cy="30963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"∆P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DM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∆TIR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38100</xdr:colOff>
      <xdr:row>37</xdr:row>
      <xdr:rowOff>146957</xdr:rowOff>
    </xdr:from>
    <xdr:to>
      <xdr:col>10</xdr:col>
      <xdr:colOff>73754</xdr:colOff>
      <xdr:row>39</xdr:row>
      <xdr:rowOff>102652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3">
              <a:extLst>
                <a:ext uri="{FF2B5EF4-FFF2-40B4-BE49-F238E27FC236}">
                  <a16:creationId xmlns:a16="http://schemas.microsoft.com/office/drawing/2014/main" id="{6ACBEBBF-2253-4EF4-B191-5C97EB09FD17}"/>
                </a:ext>
              </a:extLst>
            </xdr:cNvPr>
            <xdr:cNvSpPr txBox="1"/>
          </xdr:nvSpPr>
          <xdr:spPr>
            <a:xfrm>
              <a:off x="8534400" y="9530443"/>
              <a:ext cx="1559654" cy="33669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den>
                    </m:f>
                    <m:r>
                      <m:rPr>
                        <m:nor/>
                      </m:rPr>
                      <a:rPr lang="es-MX" sz="1050" b="0" i="0"/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(1</m:t>
                        </m:r>
                        <m:r>
                          <m:rPr>
                            <m:nor/>
                          </m:rPr>
                          <a:rPr lang="es-MX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9" name="CuadroTexto 3">
              <a:extLst>
                <a:ext uri="{FF2B5EF4-FFF2-40B4-BE49-F238E27FC236}">
                  <a16:creationId xmlns:a16="http://schemas.microsoft.com/office/drawing/2014/main" id="{6ACBEBBF-2253-4EF4-B191-5C97EB09FD17}"/>
                </a:ext>
              </a:extLst>
            </xdr:cNvPr>
            <xdr:cNvSpPr txBox="1"/>
          </xdr:nvSpPr>
          <xdr:spPr>
            <a:xfrm>
              <a:off x="8534400" y="9530443"/>
              <a:ext cx="1559654" cy="33669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"∆P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"∆TIR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119743</xdr:colOff>
      <xdr:row>42</xdr:row>
      <xdr:rowOff>48986</xdr:rowOff>
    </xdr:from>
    <xdr:to>
      <xdr:col>11</xdr:col>
      <xdr:colOff>392111</xdr:colOff>
      <xdr:row>44</xdr:row>
      <xdr:rowOff>70276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10 CuadroTexto">
              <a:extLst>
                <a:ext uri="{FF2B5EF4-FFF2-40B4-BE49-F238E27FC236}">
                  <a16:creationId xmlns:a16="http://schemas.microsoft.com/office/drawing/2014/main" id="{EE4132CF-16C9-49CD-B1F5-A5A2D96F9034}"/>
                </a:ext>
              </a:extLst>
            </xdr:cNvPr>
            <xdr:cNvSpPr txBox="1"/>
          </xdr:nvSpPr>
          <xdr:spPr>
            <a:xfrm>
              <a:off x="8616043" y="10384972"/>
              <a:ext cx="2558368" cy="4022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den>
                    </m:f>
                    <m:r>
                      <m:rPr>
                        <m:nor/>
                      </m:rPr>
                      <a:rPr lang="es-MX" sz="105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DM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∆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TIR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2</m:t>
                        </m:r>
                      </m:den>
                    </m:f>
                    <m:r>
                      <m:rPr>
                        <m:nor/>
                      </m:rPr>
                      <a:rPr lang="es-MX" sz="1050" b="0" i="0">
                        <a:latin typeface="Cambria Math" panose="02040503050406030204" pitchFamily="18" charset="0"/>
                        <a:ea typeface="Cambria Math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sSup>
                      <m:sSupPr>
                        <m:ctrlPr>
                          <a:rPr lang="es-CO" sz="105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CO" sz="105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∆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TIR</m:t>
                            </m:r>
                          </m:e>
                        </m:d>
                      </m:e>
                      <m:sup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0" name="10 CuadroTexto">
              <a:extLst>
                <a:ext uri="{FF2B5EF4-FFF2-40B4-BE49-F238E27FC236}">
                  <a16:creationId xmlns:a16="http://schemas.microsoft.com/office/drawing/2014/main" id="{EE4132CF-16C9-49CD-B1F5-A5A2D96F9034}"/>
                </a:ext>
              </a:extLst>
            </xdr:cNvPr>
            <xdr:cNvSpPr txBox="1"/>
          </xdr:nvSpPr>
          <xdr:spPr>
            <a:xfrm>
              <a:off x="8616043" y="10384972"/>
              <a:ext cx="2558368" cy="4022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"∆P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DM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∆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TIR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  <a:ea typeface="Cambria Math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C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/>
                </a:rPr>
                <a:t>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∆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r>
                <a:rPr lang="es-CO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 editAs="oneCell">
    <xdr:from>
      <xdr:col>2</xdr:col>
      <xdr:colOff>702469</xdr:colOff>
      <xdr:row>12</xdr:row>
      <xdr:rowOff>65484</xdr:rowOff>
    </xdr:from>
    <xdr:to>
      <xdr:col>6</xdr:col>
      <xdr:colOff>1212303</xdr:colOff>
      <xdr:row>19</xdr:row>
      <xdr:rowOff>38028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F92922F-5847-4F05-B4CF-8B8F60D67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4922" y="3071812"/>
          <a:ext cx="4212678" cy="1764435"/>
        </a:xfrm>
        <a:prstGeom prst="rect">
          <a:avLst/>
        </a:prstGeom>
      </xdr:spPr>
    </xdr:pic>
    <xdr:clientData/>
  </xdr:twoCellAnchor>
  <xdr:twoCellAnchor>
    <xdr:from>
      <xdr:col>8</xdr:col>
      <xdr:colOff>309563</xdr:colOff>
      <xdr:row>32</xdr:row>
      <xdr:rowOff>11906</xdr:rowOff>
    </xdr:from>
    <xdr:to>
      <xdr:col>13</xdr:col>
      <xdr:colOff>299971</xdr:colOff>
      <xdr:row>33</xdr:row>
      <xdr:rowOff>249860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CuadroTexto 17">
              <a:extLst>
                <a:ext uri="{FF2B5EF4-FFF2-40B4-BE49-F238E27FC236}">
                  <a16:creationId xmlns:a16="http://schemas.microsoft.com/office/drawing/2014/main" id="{4B589BB8-976A-4594-A6DA-36F93910271D}"/>
                </a:ext>
              </a:extLst>
            </xdr:cNvPr>
            <xdr:cNvSpPr txBox="1"/>
          </xdr:nvSpPr>
          <xdr:spPr>
            <a:xfrm>
              <a:off x="8971360" y="8137922"/>
              <a:ext cx="3931377" cy="49393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Convexidad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  <m:sSup>
                          <m:sSupPr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(1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+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TIR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)</m:t>
                            </m:r>
                          </m:e>
                          <m:sup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nary>
                      <m:naryPr>
                        <m:chr m:val="∑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nor/>
                            <m:brk m:alnAt="23"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=1</m:t>
                        </m:r>
                      </m:sub>
                      <m:sup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sup>
                      <m:e>
                        <m:d>
                          <m:dPr>
                            <m:begChr m:val="["/>
                            <m:endChr m:val="]"/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F</m:t>
                                </m:r>
                                <m:sSub>
                                  <m:sSub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C</m:t>
                                    </m:r>
                                  </m:e>
                                  <m:sub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b>
                                </m:sSub>
                              </m:num>
                              <m:den>
                                <m:sSup>
                                  <m:sSup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(1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MX" sz="1050" b="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 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MX" sz="1050" b="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 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TIR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p>
                                </m:sSup>
                              </m:den>
                            </m:f>
                            <m:r>
                              <m:rPr>
                                <m:nor/>
                              </m:rPr>
                              <a:rPr lang="es-MX" sz="1050" b="0" i="0"/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×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(</m:t>
                            </m:r>
                            <m:sSup>
                              <m:sSup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nor/>
                                  </m:rPr>
                                  <a:rPr lang="es-CO" sz="105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</m:t>
                                </m:r>
                              </m:e>
                              <m:sup>
                                <m:r>
                                  <m:rPr>
                                    <m:nor/>
                                  </m:rPr>
                                  <a:rPr lang="es-CO" sz="105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m:rPr>
                                <m:nor/>
                              </m:rPr>
                              <a:rPr lang="es-MX" sz="1050" b="0" i="0"/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+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)</m:t>
                            </m:r>
                          </m:e>
                        </m:d>
                      </m:e>
                    </m:nary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2" name="CuadroTexto 17">
              <a:extLst>
                <a:ext uri="{FF2B5EF4-FFF2-40B4-BE49-F238E27FC236}">
                  <a16:creationId xmlns:a16="http://schemas.microsoft.com/office/drawing/2014/main" id="{4B589BB8-976A-4594-A6DA-36F93910271D}"/>
                </a:ext>
              </a:extLst>
            </xdr:cNvPr>
            <xdr:cNvSpPr txBox="1"/>
          </xdr:nvSpPr>
          <xdr:spPr>
            <a:xfrm>
              <a:off x="8971360" y="8137922"/>
              <a:ext cx="3931377" cy="49393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"Convexidad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= C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 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/(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〖"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) </a:t>
              </a:r>
              <a:r>
                <a:rPr lang="es-CO" sz="1050" i="0">
                  <a:latin typeface="Cambria Math" panose="02040503050406030204" pitchFamily="18" charset="0"/>
                </a:rPr>
                <a:t>∑_"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t=1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▒[(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)/〖"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/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/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495301</xdr:colOff>
      <xdr:row>32</xdr:row>
      <xdr:rowOff>54428</xdr:rowOff>
    </xdr:from>
    <xdr:to>
      <xdr:col>11</xdr:col>
      <xdr:colOff>643905</xdr:colOff>
      <xdr:row>35</xdr:row>
      <xdr:rowOff>10234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8EB87485-A62C-4D32-9436-347E817246FC}"/>
                </a:ext>
              </a:extLst>
            </xdr:cNvPr>
            <xdr:cNvSpPr txBox="1"/>
          </xdr:nvSpPr>
          <xdr:spPr>
            <a:xfrm>
              <a:off x="10804072" y="7032171"/>
              <a:ext cx="1672604" cy="608949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nor/>
                            <m:brk m:alnAt="23"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=1</m:t>
                        </m:r>
                      </m:sub>
                      <m:sup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sup>
                      <m:e>
                        <m:f>
                          <m:fPr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×</m:t>
                            </m:r>
                            <m:f>
                              <m:f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s-MX" sz="1050" b="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F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C</m:t>
                                    </m:r>
                                  </m:e>
                                  <m:sub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b>
                                </m:sSub>
                              </m:num>
                              <m:den>
                                <m:sSup>
                                  <m:sSup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s-CO" sz="105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m:rPr>
                                            <m:nor/>
                                          </m:rPr>
                                          <a:rPr lang="es-CO" sz="105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1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MX" sz="1050" b="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 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CO" sz="105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+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MX" sz="1050" b="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 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CO" sz="105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TIR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p>
                                </m:sSup>
                              </m:den>
                            </m:f>
                          </m:num>
                          <m:den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P</m:t>
                            </m:r>
                          </m:den>
                        </m:f>
                      </m:e>
                    </m:nary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8EB87485-A62C-4D32-9436-347E817246FC}"/>
                </a:ext>
              </a:extLst>
            </xdr:cNvPr>
            <xdr:cNvSpPr txBox="1"/>
          </xdr:nvSpPr>
          <xdr:spPr>
            <a:xfrm>
              <a:off x="10804072" y="7032171"/>
              <a:ext cx="1672604" cy="608949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=" </a:t>
              </a:r>
              <a:r>
                <a:rPr lang="es-CO" sz="1050" i="0">
                  <a:latin typeface="Cambria Math" panose="02040503050406030204" pitchFamily="18" charset="0"/>
                </a:rPr>
                <a:t>∑_"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t=1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▒("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 〖</a:t>
              </a:r>
              <a:r>
                <a:rPr lang="es-MX" sz="105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〗_"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/("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)/"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9</xdr:col>
      <xdr:colOff>435429</xdr:colOff>
      <xdr:row>36</xdr:row>
      <xdr:rowOff>81643</xdr:rowOff>
    </xdr:from>
    <xdr:to>
      <xdr:col>11</xdr:col>
      <xdr:colOff>691851</xdr:colOff>
      <xdr:row>37</xdr:row>
      <xdr:rowOff>185940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2">
              <a:extLst>
                <a:ext uri="{FF2B5EF4-FFF2-40B4-BE49-F238E27FC236}">
                  <a16:creationId xmlns:a16="http://schemas.microsoft.com/office/drawing/2014/main" id="{677C209E-EB21-41C0-92BA-C8F90A931B3D}"/>
                </a:ext>
              </a:extLst>
            </xdr:cNvPr>
            <xdr:cNvSpPr txBox="1"/>
          </xdr:nvSpPr>
          <xdr:spPr>
            <a:xfrm>
              <a:off x="10744200" y="7930243"/>
              <a:ext cx="1780422" cy="32201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DM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Duraci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</m:den>
                    </m:f>
                    <m:r>
                      <a:rPr lang="es-MX" sz="105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  <m:r>
                          <m:rPr>
                            <m:nor/>
                          </m:rPr>
                          <a:rPr lang="es-MX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</m:den>
                    </m:f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2">
              <a:extLst>
                <a:ext uri="{FF2B5EF4-FFF2-40B4-BE49-F238E27FC236}">
                  <a16:creationId xmlns:a16="http://schemas.microsoft.com/office/drawing/2014/main" id="{677C209E-EB21-41C0-92BA-C8F90A931B3D}"/>
                </a:ext>
              </a:extLst>
            </xdr:cNvPr>
            <xdr:cNvSpPr txBox="1"/>
          </xdr:nvSpPr>
          <xdr:spPr>
            <a:xfrm>
              <a:off x="10744200" y="7930243"/>
              <a:ext cx="1780422" cy="32201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"DM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"Duración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</a:rPr>
                <a:t>=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"D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429987</xdr:colOff>
      <xdr:row>48</xdr:row>
      <xdr:rowOff>27215</xdr:rowOff>
    </xdr:from>
    <xdr:to>
      <xdr:col>10</xdr:col>
      <xdr:colOff>356784</xdr:colOff>
      <xdr:row>49</xdr:row>
      <xdr:rowOff>146352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11">
              <a:extLst>
                <a:ext uri="{FF2B5EF4-FFF2-40B4-BE49-F238E27FC236}">
                  <a16:creationId xmlns:a16="http://schemas.microsoft.com/office/drawing/2014/main" id="{C61FD050-48C3-49E7-A7BD-9494DF245915}"/>
                </a:ext>
              </a:extLst>
            </xdr:cNvPr>
            <xdr:cNvSpPr txBox="1"/>
          </xdr:nvSpPr>
          <xdr:spPr>
            <a:xfrm>
              <a:off x="9976758" y="10270672"/>
              <a:ext cx="1450797" cy="30963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den>
                    </m:f>
                    <m:r>
                      <m:rPr>
                        <m:nor/>
                      </m:rPr>
                      <a:rPr lang="es-MX" sz="1050" b="0" i="0"/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DM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∆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TIR</m:t>
                    </m:r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8" name="CuadroTexto 11">
              <a:extLst>
                <a:ext uri="{FF2B5EF4-FFF2-40B4-BE49-F238E27FC236}">
                  <a16:creationId xmlns:a16="http://schemas.microsoft.com/office/drawing/2014/main" id="{C61FD050-48C3-49E7-A7BD-9494DF245915}"/>
                </a:ext>
              </a:extLst>
            </xdr:cNvPr>
            <xdr:cNvSpPr txBox="1"/>
          </xdr:nvSpPr>
          <xdr:spPr>
            <a:xfrm>
              <a:off x="9976758" y="10270672"/>
              <a:ext cx="1450797" cy="30963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"∆P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DM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∆TIR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332015</xdr:colOff>
      <xdr:row>45</xdr:row>
      <xdr:rowOff>119744</xdr:rowOff>
    </xdr:from>
    <xdr:to>
      <xdr:col>10</xdr:col>
      <xdr:colOff>503740</xdr:colOff>
      <xdr:row>47</xdr:row>
      <xdr:rowOff>75439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3">
              <a:extLst>
                <a:ext uri="{FF2B5EF4-FFF2-40B4-BE49-F238E27FC236}">
                  <a16:creationId xmlns:a16="http://schemas.microsoft.com/office/drawing/2014/main" id="{39870BFD-537B-4385-8DEB-6EEE2A9481F6}"/>
                </a:ext>
              </a:extLst>
            </xdr:cNvPr>
            <xdr:cNvSpPr txBox="1"/>
          </xdr:nvSpPr>
          <xdr:spPr>
            <a:xfrm>
              <a:off x="9878786" y="9791701"/>
              <a:ext cx="1695725" cy="33669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den>
                    </m:f>
                    <m:r>
                      <m:rPr>
                        <m:nor/>
                      </m:rPr>
                      <a:rPr lang="es-MX" sz="1050" b="0" i="0"/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(1</m:t>
                        </m:r>
                        <m:r>
                          <m:rPr>
                            <m:nor/>
                          </m:rPr>
                          <a:rPr lang="es-MX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9" name="CuadroTexto 3">
              <a:extLst>
                <a:ext uri="{FF2B5EF4-FFF2-40B4-BE49-F238E27FC236}">
                  <a16:creationId xmlns:a16="http://schemas.microsoft.com/office/drawing/2014/main" id="{39870BFD-537B-4385-8DEB-6EEE2A9481F6}"/>
                </a:ext>
              </a:extLst>
            </xdr:cNvPr>
            <xdr:cNvSpPr txBox="1"/>
          </xdr:nvSpPr>
          <xdr:spPr>
            <a:xfrm>
              <a:off x="9878786" y="9791701"/>
              <a:ext cx="1695725" cy="33669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"∆P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"∆TIR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413658</xdr:colOff>
      <xdr:row>50</xdr:row>
      <xdr:rowOff>21773</xdr:rowOff>
    </xdr:from>
    <xdr:to>
      <xdr:col>12</xdr:col>
      <xdr:colOff>60097</xdr:colOff>
      <xdr:row>52</xdr:row>
      <xdr:rowOff>43063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10 CuadroTexto">
              <a:extLst>
                <a:ext uri="{FF2B5EF4-FFF2-40B4-BE49-F238E27FC236}">
                  <a16:creationId xmlns:a16="http://schemas.microsoft.com/office/drawing/2014/main" id="{5E86159C-C010-4392-ADD6-08AE3774856A}"/>
                </a:ext>
              </a:extLst>
            </xdr:cNvPr>
            <xdr:cNvSpPr txBox="1"/>
          </xdr:nvSpPr>
          <xdr:spPr>
            <a:xfrm>
              <a:off x="9960429" y="10646230"/>
              <a:ext cx="2694439" cy="4022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den>
                    </m:f>
                    <m:r>
                      <m:rPr>
                        <m:nor/>
                      </m:rPr>
                      <a:rPr lang="es-MX" sz="105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DM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∆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TIR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2</m:t>
                        </m:r>
                      </m:den>
                    </m:f>
                    <m:r>
                      <m:rPr>
                        <m:nor/>
                      </m:rPr>
                      <a:rPr lang="es-MX" sz="1050" b="0" i="0">
                        <a:latin typeface="Cambria Math" panose="02040503050406030204" pitchFamily="18" charset="0"/>
                        <a:ea typeface="Cambria Math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sSup>
                      <m:sSupPr>
                        <m:ctrlPr>
                          <a:rPr lang="es-CO" sz="105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CO" sz="105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∆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TIR</m:t>
                            </m:r>
                          </m:e>
                        </m:d>
                      </m:e>
                      <m:sup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0" name="10 CuadroTexto">
              <a:extLst>
                <a:ext uri="{FF2B5EF4-FFF2-40B4-BE49-F238E27FC236}">
                  <a16:creationId xmlns:a16="http://schemas.microsoft.com/office/drawing/2014/main" id="{5E86159C-C010-4392-ADD6-08AE3774856A}"/>
                </a:ext>
              </a:extLst>
            </xdr:cNvPr>
            <xdr:cNvSpPr txBox="1"/>
          </xdr:nvSpPr>
          <xdr:spPr>
            <a:xfrm>
              <a:off x="9960429" y="10646230"/>
              <a:ext cx="2694439" cy="4022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"∆P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DM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∆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TIR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  <a:ea typeface="Cambria Math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C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/>
                </a:rPr>
                <a:t>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∆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r>
                <a:rPr lang="es-CO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103414</xdr:colOff>
      <xdr:row>38</xdr:row>
      <xdr:rowOff>168728</xdr:rowOff>
    </xdr:from>
    <xdr:to>
      <xdr:col>13</xdr:col>
      <xdr:colOff>88719</xdr:colOff>
      <xdr:row>41</xdr:row>
      <xdr:rowOff>36738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CuadroTexto 17">
              <a:extLst>
                <a:ext uri="{FF2B5EF4-FFF2-40B4-BE49-F238E27FC236}">
                  <a16:creationId xmlns:a16="http://schemas.microsoft.com/office/drawing/2014/main" id="{25418648-FD51-4F49-9BA5-ED59D60EF689}"/>
                </a:ext>
              </a:extLst>
            </xdr:cNvPr>
            <xdr:cNvSpPr txBox="1"/>
          </xdr:nvSpPr>
          <xdr:spPr>
            <a:xfrm>
              <a:off x="9851571" y="8452757"/>
              <a:ext cx="3931377" cy="49393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Convexidad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  <m:sSup>
                          <m:sSupPr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(1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+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TIR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)</m:t>
                            </m:r>
                          </m:e>
                          <m:sup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nary>
                      <m:naryPr>
                        <m:chr m:val="∑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nor/>
                            <m:brk m:alnAt="23"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=1</m:t>
                        </m:r>
                      </m:sub>
                      <m:sup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sup>
                      <m:e>
                        <m:d>
                          <m:dPr>
                            <m:begChr m:val="["/>
                            <m:endChr m:val="]"/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F</m:t>
                                </m:r>
                                <m:sSub>
                                  <m:sSub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C</m:t>
                                    </m:r>
                                  </m:e>
                                  <m:sub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b>
                                </m:sSub>
                              </m:num>
                              <m:den>
                                <m:sSup>
                                  <m:sSup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(1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MX" sz="1050" b="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 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MX" sz="1050" b="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 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TIR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p>
                                </m:sSup>
                              </m:den>
                            </m:f>
                            <m:r>
                              <m:rPr>
                                <m:nor/>
                              </m:rPr>
                              <a:rPr lang="es-MX" sz="1050" b="0" i="0"/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×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(</m:t>
                            </m:r>
                            <m:sSup>
                              <m:sSup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nor/>
                                  </m:rPr>
                                  <a:rPr lang="es-CO" sz="105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</m:t>
                                </m:r>
                              </m:e>
                              <m:sup>
                                <m:r>
                                  <m:rPr>
                                    <m:nor/>
                                  </m:rPr>
                                  <a:rPr lang="es-CO" sz="105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m:rPr>
                                <m:nor/>
                              </m:rPr>
                              <a:rPr lang="es-MX" sz="1050" b="0" i="0"/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+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)</m:t>
                            </m:r>
                          </m:e>
                        </m:d>
                      </m:e>
                    </m:nary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11" name="CuadroTexto 17">
              <a:extLst>
                <a:ext uri="{FF2B5EF4-FFF2-40B4-BE49-F238E27FC236}">
                  <a16:creationId xmlns:a16="http://schemas.microsoft.com/office/drawing/2014/main" id="{25418648-FD51-4F49-9BA5-ED59D60EF689}"/>
                </a:ext>
              </a:extLst>
            </xdr:cNvPr>
            <xdr:cNvSpPr txBox="1"/>
          </xdr:nvSpPr>
          <xdr:spPr>
            <a:xfrm>
              <a:off x="9851571" y="8452757"/>
              <a:ext cx="3931377" cy="49393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"Convexidad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= C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 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/(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〖"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) </a:t>
              </a:r>
              <a:r>
                <a:rPr lang="es-CO" sz="1050" i="0">
                  <a:latin typeface="Cambria Math" panose="02040503050406030204" pitchFamily="18" charset="0"/>
                </a:rPr>
                <a:t>∑_"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t=1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▒[(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)/〖"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/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/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337458</xdr:colOff>
      <xdr:row>38</xdr:row>
      <xdr:rowOff>201386</xdr:rowOff>
    </xdr:from>
    <xdr:to>
      <xdr:col>11</xdr:col>
      <xdr:colOff>486062</xdr:colOff>
      <xdr:row>41</xdr:row>
      <xdr:rowOff>91877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ADDBE257-3A20-4BF6-A763-6D74A97EBDA6}"/>
                </a:ext>
              </a:extLst>
            </xdr:cNvPr>
            <xdr:cNvSpPr txBox="1"/>
          </xdr:nvSpPr>
          <xdr:spPr>
            <a:xfrm>
              <a:off x="10341429" y="8986157"/>
              <a:ext cx="1672604" cy="608949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nor/>
                            <m:brk m:alnAt="23"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=1</m:t>
                        </m:r>
                      </m:sub>
                      <m:sup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sup>
                      <m:e>
                        <m:f>
                          <m:fPr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×</m:t>
                            </m:r>
                            <m:f>
                              <m:f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s-MX" sz="1050" b="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F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C</m:t>
                                    </m:r>
                                  </m:e>
                                  <m:sub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b>
                                </m:sSub>
                              </m:num>
                              <m:den>
                                <m:sSup>
                                  <m:sSup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s-CO" sz="105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m:rPr>
                                            <m:nor/>
                                          </m:rPr>
                                          <a:rPr lang="es-CO" sz="105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1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MX" sz="1050" b="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 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CO" sz="105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+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MX" sz="1050" b="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 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s-CO" sz="1050" i="0">
                                            <a:latin typeface="Tahoma" panose="020B0604030504040204" pitchFamily="34" charset="0"/>
                                            <a:ea typeface="Tahoma" panose="020B0604030504040204" pitchFamily="34" charset="0"/>
                                            <a:cs typeface="Tahoma" panose="020B0604030504040204" pitchFamily="34" charset="0"/>
                                          </a:rPr>
                                          <m:t>TIR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p>
                                </m:sSup>
                              </m:den>
                            </m:f>
                          </m:num>
                          <m:den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P</m:t>
                            </m:r>
                          </m:den>
                        </m:f>
                      </m:e>
                    </m:nary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ADDBE257-3A20-4BF6-A763-6D74A97EBDA6}"/>
                </a:ext>
              </a:extLst>
            </xdr:cNvPr>
            <xdr:cNvSpPr txBox="1"/>
          </xdr:nvSpPr>
          <xdr:spPr>
            <a:xfrm>
              <a:off x="10341429" y="8986157"/>
              <a:ext cx="1672604" cy="608949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=" </a:t>
              </a:r>
              <a:r>
                <a:rPr lang="es-CO" sz="1050" i="0">
                  <a:latin typeface="Cambria Math" panose="02040503050406030204" pitchFamily="18" charset="0"/>
                </a:rPr>
                <a:t>∑_"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t=1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▒("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 〖</a:t>
              </a:r>
              <a:r>
                <a:rPr lang="es-MX" sz="105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〗_"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/("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)/"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9</xdr:col>
      <xdr:colOff>310244</xdr:colOff>
      <xdr:row>42</xdr:row>
      <xdr:rowOff>174172</xdr:rowOff>
    </xdr:from>
    <xdr:to>
      <xdr:col>11</xdr:col>
      <xdr:colOff>566666</xdr:colOff>
      <xdr:row>44</xdr:row>
      <xdr:rowOff>17212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2">
              <a:extLst>
                <a:ext uri="{FF2B5EF4-FFF2-40B4-BE49-F238E27FC236}">
                  <a16:creationId xmlns:a16="http://schemas.microsoft.com/office/drawing/2014/main" id="{6A3A935F-77B5-4016-AB6E-6D56EE6FCC92}"/>
                </a:ext>
              </a:extLst>
            </xdr:cNvPr>
            <xdr:cNvSpPr txBox="1"/>
          </xdr:nvSpPr>
          <xdr:spPr>
            <a:xfrm>
              <a:off x="10314215" y="9927772"/>
              <a:ext cx="1780422" cy="32201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DM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Duraci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</m:den>
                    </m:f>
                    <m:r>
                      <a:rPr lang="es-MX" sz="105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D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  <m:r>
                          <m:rPr>
                            <m:nor/>
                          </m:rPr>
                          <a:rPr lang="es-MX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</m:den>
                    </m:f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2" name="CuadroTexto 2">
              <a:extLst>
                <a:ext uri="{FF2B5EF4-FFF2-40B4-BE49-F238E27FC236}">
                  <a16:creationId xmlns:a16="http://schemas.microsoft.com/office/drawing/2014/main" id="{6A3A935F-77B5-4016-AB6E-6D56EE6FCC92}"/>
                </a:ext>
              </a:extLst>
            </xdr:cNvPr>
            <xdr:cNvSpPr txBox="1"/>
          </xdr:nvSpPr>
          <xdr:spPr>
            <a:xfrm>
              <a:off x="10314215" y="9927772"/>
              <a:ext cx="1780422" cy="32201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"DM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"Duración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</a:rPr>
                <a:t>=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"D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283029</xdr:colOff>
      <xdr:row>53</xdr:row>
      <xdr:rowOff>65315</xdr:rowOff>
    </xdr:from>
    <xdr:to>
      <xdr:col>10</xdr:col>
      <xdr:colOff>318684</xdr:colOff>
      <xdr:row>54</xdr:row>
      <xdr:rowOff>184452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1">
              <a:extLst>
                <a:ext uri="{FF2B5EF4-FFF2-40B4-BE49-F238E27FC236}">
                  <a16:creationId xmlns:a16="http://schemas.microsoft.com/office/drawing/2014/main" id="{BA333594-F071-46B1-AC5B-2C52E9CCA820}"/>
                </a:ext>
              </a:extLst>
            </xdr:cNvPr>
            <xdr:cNvSpPr txBox="1"/>
          </xdr:nvSpPr>
          <xdr:spPr>
            <a:xfrm>
              <a:off x="9497786" y="12257315"/>
              <a:ext cx="1586869" cy="30963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den>
                    </m:f>
                    <m:r>
                      <m:rPr>
                        <m:nor/>
                      </m:rPr>
                      <a:rPr lang="es-MX" sz="1050" b="0" i="0"/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DM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∆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TIR</m:t>
                    </m:r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4" name="CuadroTexto 11">
              <a:extLst>
                <a:ext uri="{FF2B5EF4-FFF2-40B4-BE49-F238E27FC236}">
                  <a16:creationId xmlns:a16="http://schemas.microsoft.com/office/drawing/2014/main" id="{BA333594-F071-46B1-AC5B-2C52E9CCA820}"/>
                </a:ext>
              </a:extLst>
            </xdr:cNvPr>
            <xdr:cNvSpPr txBox="1"/>
          </xdr:nvSpPr>
          <xdr:spPr>
            <a:xfrm>
              <a:off x="9497786" y="12257315"/>
              <a:ext cx="1586869" cy="30963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"∆P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DM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∆TIR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185057</xdr:colOff>
      <xdr:row>50</xdr:row>
      <xdr:rowOff>157844</xdr:rowOff>
    </xdr:from>
    <xdr:to>
      <xdr:col>10</xdr:col>
      <xdr:colOff>465640</xdr:colOff>
      <xdr:row>52</xdr:row>
      <xdr:rowOff>113539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3">
              <a:extLst>
                <a:ext uri="{FF2B5EF4-FFF2-40B4-BE49-F238E27FC236}">
                  <a16:creationId xmlns:a16="http://schemas.microsoft.com/office/drawing/2014/main" id="{04E38FE5-767B-4DBC-A865-3B10C192E3D5}"/>
                </a:ext>
              </a:extLst>
            </xdr:cNvPr>
            <xdr:cNvSpPr txBox="1"/>
          </xdr:nvSpPr>
          <xdr:spPr>
            <a:xfrm>
              <a:off x="9399814" y="11778344"/>
              <a:ext cx="1831797" cy="33669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den>
                    </m:f>
                    <m:r>
                      <m:rPr>
                        <m:nor/>
                      </m:rPr>
                      <a:rPr lang="es-MX" sz="1050" b="0" i="0"/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(1</m:t>
                        </m:r>
                        <m:r>
                          <m:rPr>
                            <m:nor/>
                          </m:rPr>
                          <a:rPr lang="es-MX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+</m:t>
                        </m:r>
                        <m:r>
                          <m:rPr>
                            <m:nor/>
                          </m:rPr>
                          <a:rPr lang="es-MX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TIR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5" name="CuadroTexto 3">
              <a:extLst>
                <a:ext uri="{FF2B5EF4-FFF2-40B4-BE49-F238E27FC236}">
                  <a16:creationId xmlns:a16="http://schemas.microsoft.com/office/drawing/2014/main" id="{04E38FE5-767B-4DBC-A865-3B10C192E3D5}"/>
                </a:ext>
              </a:extLst>
            </xdr:cNvPr>
            <xdr:cNvSpPr txBox="1"/>
          </xdr:nvSpPr>
          <xdr:spPr>
            <a:xfrm>
              <a:off x="9399814" y="11778344"/>
              <a:ext cx="1831797" cy="33669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"∆P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"∆TIR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266700</xdr:colOff>
      <xdr:row>55</xdr:row>
      <xdr:rowOff>59873</xdr:rowOff>
    </xdr:from>
    <xdr:to>
      <xdr:col>12</xdr:col>
      <xdr:colOff>21997</xdr:colOff>
      <xdr:row>57</xdr:row>
      <xdr:rowOff>81163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10 CuadroTexto">
              <a:extLst>
                <a:ext uri="{FF2B5EF4-FFF2-40B4-BE49-F238E27FC236}">
                  <a16:creationId xmlns:a16="http://schemas.microsoft.com/office/drawing/2014/main" id="{A949A433-ED71-4CDC-BC28-2F178B97AFC1}"/>
                </a:ext>
              </a:extLst>
            </xdr:cNvPr>
            <xdr:cNvSpPr txBox="1"/>
          </xdr:nvSpPr>
          <xdr:spPr>
            <a:xfrm>
              <a:off x="9481457" y="12632873"/>
              <a:ext cx="2830511" cy="4022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∆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</m:den>
                    </m:f>
                    <m:r>
                      <m:rPr>
                        <m:nor/>
                      </m:rPr>
                      <a:rPr lang="es-MX" sz="1050" b="0" i="0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DM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∆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TIR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2</m:t>
                        </m:r>
                      </m:den>
                    </m:f>
                    <m:r>
                      <m:rPr>
                        <m:nor/>
                      </m:rPr>
                      <a:rPr lang="es-MX" sz="1050" b="0" i="0">
                        <a:latin typeface="Cambria Math" panose="02040503050406030204" pitchFamily="18" charset="0"/>
                        <a:ea typeface="Cambria Math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sSup>
                      <m:sSupPr>
                        <m:ctrlPr>
                          <a:rPr lang="es-CO" sz="105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CO" sz="105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∆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TIR</m:t>
                            </m:r>
                          </m:e>
                        </m:d>
                      </m:e>
                      <m:sup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6" name="10 CuadroTexto">
              <a:extLst>
                <a:ext uri="{FF2B5EF4-FFF2-40B4-BE49-F238E27FC236}">
                  <a16:creationId xmlns:a16="http://schemas.microsoft.com/office/drawing/2014/main" id="{A949A433-ED71-4CDC-BC28-2F178B97AFC1}"/>
                </a:ext>
              </a:extLst>
            </xdr:cNvPr>
            <xdr:cNvSpPr txBox="1"/>
          </xdr:nvSpPr>
          <xdr:spPr>
            <a:xfrm>
              <a:off x="9481457" y="12632873"/>
              <a:ext cx="2830511" cy="40229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"∆P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−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DM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∆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TIR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/"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 "</a:t>
              </a:r>
              <a:r>
                <a:rPr lang="es-MX" sz="1050" b="0" i="0">
                  <a:latin typeface="Cambria Math" panose="02040503050406030204" pitchFamily="18" charset="0"/>
                  <a:ea typeface="Cambria Math"/>
                </a:rPr>
                <a:t>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C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" </a:t>
              </a:r>
              <a:r>
                <a:rPr lang="es-CO" sz="1050" i="0">
                  <a:latin typeface="Cambria Math" panose="02040503050406030204" pitchFamily="18" charset="0"/>
                  <a:ea typeface="Cambria Math"/>
                </a:rPr>
                <a:t>("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∆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</a:t>
              </a:r>
              <a:r>
                <a:rPr lang="es-CO" sz="1050" b="0" i="0">
                  <a:latin typeface="Cambria Math" panose="02040503050406030204" pitchFamily="18" charset="0"/>
                  <a:ea typeface="Cambria Math"/>
                  <a:cs typeface="Tahoma" panose="020B0604030504040204" pitchFamily="34" charset="0"/>
                </a:rPr>
                <a:t>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  <xdr:twoCellAnchor>
    <xdr:from>
      <xdr:col>8</xdr:col>
      <xdr:colOff>462643</xdr:colOff>
      <xdr:row>45</xdr:row>
      <xdr:rowOff>136072</xdr:rowOff>
    </xdr:from>
    <xdr:to>
      <xdr:col>13</xdr:col>
      <xdr:colOff>486048</xdr:colOff>
      <xdr:row>47</xdr:row>
      <xdr:rowOff>151038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uadroTexto 17">
              <a:extLst>
                <a:ext uri="{FF2B5EF4-FFF2-40B4-BE49-F238E27FC236}">
                  <a16:creationId xmlns:a16="http://schemas.microsoft.com/office/drawing/2014/main" id="{9E99E4FC-A59C-4C0A-81F0-3E4CC75F3700}"/>
                </a:ext>
              </a:extLst>
            </xdr:cNvPr>
            <xdr:cNvSpPr txBox="1"/>
          </xdr:nvSpPr>
          <xdr:spPr>
            <a:xfrm>
              <a:off x="9677400" y="10722429"/>
              <a:ext cx="3931377" cy="49393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Convexidad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= 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</m:t>
                    </m:r>
                    <m:r>
                      <m:rPr>
                        <m:nor/>
                      </m:rPr>
                      <a:rPr lang="es-MX" sz="105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CO" sz="105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 </m:t>
                    </m:r>
                    <m:f>
                      <m:fPr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CO" sz="105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P</m:t>
                        </m:r>
                        <m:sSup>
                          <m:sSupPr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(1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+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TIR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)</m:t>
                            </m:r>
                          </m:e>
                          <m:sup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2</m:t>
                            </m:r>
                          </m:sup>
                        </m:sSup>
                      </m:den>
                    </m:f>
                    <m:nary>
                      <m:naryPr>
                        <m:chr m:val="∑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nor/>
                            <m:brk m:alnAt="23"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=1</m:t>
                        </m:r>
                      </m:sub>
                      <m:sup>
                        <m:r>
                          <m:rPr>
                            <m:nor/>
                          </m:rPr>
                          <a:rPr lang="es-CO" sz="105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sup>
                      <m:e>
                        <m:d>
                          <m:dPr>
                            <m:begChr m:val="["/>
                            <m:endChr m:val="]"/>
                            <m:ctrlPr>
                              <a:rPr lang="es-CO" sz="105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nor/>
                                  </m:rPr>
                                  <a:rPr lang="es-MX" sz="1050" b="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F</m:t>
                                </m:r>
                                <m:sSub>
                                  <m:sSub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C</m:t>
                                    </m:r>
                                  </m:e>
                                  <m:sub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b>
                                </m:sSub>
                              </m:num>
                              <m:den>
                                <m:sSup>
                                  <m:sSupPr>
                                    <m:ctrlPr>
                                      <a:rPr lang="es-CO" sz="105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(1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MX" sz="1050" b="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 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MX" sz="1050" b="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 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TIR</m:t>
                                    </m:r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m:rPr>
                                        <m:nor/>
                                      </m:rPr>
                                      <a:rPr lang="es-CO" sz="1050" i="0">
                                        <a:latin typeface="Tahoma" panose="020B0604030504040204" pitchFamily="34" charset="0"/>
                                        <a:ea typeface="Tahoma" panose="020B0604030504040204" pitchFamily="34" charset="0"/>
                                        <a:cs typeface="Tahoma" panose="020B0604030504040204" pitchFamily="34" charset="0"/>
                                      </a:rPr>
                                      <m:t>t</m:t>
                                    </m:r>
                                  </m:sup>
                                </m:sSup>
                              </m:den>
                            </m:f>
                            <m:r>
                              <m:rPr>
                                <m:nor/>
                              </m:rPr>
                              <a:rPr lang="es-MX" sz="1050" b="0" i="0"/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×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(</m:t>
                            </m:r>
                            <m:sSup>
                              <m:sSupPr>
                                <m:ctrlPr>
                                  <a:rPr lang="es-CO" sz="105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nor/>
                                  </m:rPr>
                                  <a:rPr lang="es-CO" sz="105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t</m:t>
                                </m:r>
                              </m:e>
                              <m:sup>
                                <m:r>
                                  <m:rPr>
                                    <m:nor/>
                                  </m:rPr>
                                  <a:rPr lang="es-CO" sz="1050" i="0">
                                    <a:latin typeface="Tahoma" panose="020B0604030504040204" pitchFamily="34" charset="0"/>
                                    <a:ea typeface="Tahoma" panose="020B0604030504040204" pitchFamily="34" charset="0"/>
                                    <a:cs typeface="Tahoma" panose="020B0604030504040204" pitchFamily="34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m:rPr>
                                <m:nor/>
                              </m:rPr>
                              <a:rPr lang="es-MX" sz="1050" b="0" i="0"/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+</m:t>
                            </m:r>
                            <m:r>
                              <m:rPr>
                                <m:nor/>
                              </m:rPr>
                              <a:rPr lang="es-MX" sz="1050" b="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 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  <m:r>
                              <m:rPr>
                                <m:nor/>
                              </m:rPr>
                              <a:rPr lang="es-CO" sz="1050" i="0"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)</m:t>
                            </m:r>
                          </m:e>
                        </m:d>
                      </m:e>
                    </m:nary>
                  </m:oMath>
                </m:oMathPara>
              </a14:m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>
        <xdr:sp macro="" textlink="">
          <xdr:nvSpPr>
            <xdr:cNvPr id="8" name="CuadroTexto 17">
              <a:extLst>
                <a:ext uri="{FF2B5EF4-FFF2-40B4-BE49-F238E27FC236}">
                  <a16:creationId xmlns:a16="http://schemas.microsoft.com/office/drawing/2014/main" id="{9E99E4FC-A59C-4C0A-81F0-3E4CC75F3700}"/>
                </a:ext>
              </a:extLst>
            </xdr:cNvPr>
            <xdr:cNvSpPr txBox="1"/>
          </xdr:nvSpPr>
          <xdr:spPr>
            <a:xfrm>
              <a:off x="9677400" y="10722429"/>
              <a:ext cx="3931377" cy="493938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"Convexidad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= C 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= "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/(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CO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P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〖"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) </a:t>
              </a:r>
              <a:r>
                <a:rPr lang="es-CO" sz="1050" i="0">
                  <a:latin typeface="Cambria Math" panose="02040503050406030204" pitchFamily="18" charset="0"/>
                </a:rPr>
                <a:t>∑_"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t=1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n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▒[(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)/〖"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(1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TIR)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〗^"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/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×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^"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2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05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</a:t>
              </a:r>
              <a:r>
                <a:rPr lang="es-MX" sz="1050" b="0" i="0"/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+</a:t>
              </a:r>
              <a:r>
                <a:rPr lang="es-MX" sz="105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CO" sz="105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t)</a:t>
              </a:r>
              <a:r>
                <a:rPr lang="es-CO" sz="105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 </a:t>
              </a:r>
              <a:endParaRPr lang="es-CO" sz="105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D9BAA-A473-46AA-AF3D-B794762D4E9A}">
  <dimension ref="A1:M49"/>
  <sheetViews>
    <sheetView showGridLines="0" tabSelected="1" zoomScale="160" zoomScaleNormal="160" workbookViewId="0">
      <selection activeCell="B12" sqref="B12"/>
    </sheetView>
  </sheetViews>
  <sheetFormatPr baseColWidth="10" defaultRowHeight="15" x14ac:dyDescent="0.25"/>
  <cols>
    <col min="1" max="1" width="18.140625" customWidth="1"/>
    <col min="2" max="2" width="18.7109375" customWidth="1"/>
    <col min="3" max="3" width="11.85546875" bestFit="1" customWidth="1"/>
    <col min="4" max="4" width="12.85546875" customWidth="1"/>
    <col min="5" max="5" width="16.85546875" customWidth="1"/>
    <col min="6" max="6" width="17.5703125" customWidth="1"/>
    <col min="7" max="7" width="19.140625" customWidth="1"/>
    <col min="8" max="8" width="18.7109375" customWidth="1"/>
    <col min="9" max="9" width="13" customWidth="1"/>
  </cols>
  <sheetData>
    <row r="1" spans="1:13" ht="15.75" thickBot="1" x14ac:dyDescent="0.3">
      <c r="A1" s="85" t="s">
        <v>93</v>
      </c>
      <c r="B1" s="86"/>
      <c r="C1" s="86"/>
      <c r="D1" s="86"/>
      <c r="E1" s="86"/>
      <c r="F1" s="86"/>
    </row>
    <row r="2" spans="1:13" ht="15.75" thickBot="1" x14ac:dyDescent="0.3">
      <c r="A2" s="1" t="s">
        <v>56</v>
      </c>
      <c r="B2" s="2" t="s">
        <v>57</v>
      </c>
      <c r="C2" s="2" t="s">
        <v>58</v>
      </c>
      <c r="D2" s="2" t="s">
        <v>0</v>
      </c>
      <c r="E2" s="2" t="s">
        <v>1</v>
      </c>
      <c r="F2" s="2" t="s">
        <v>59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  <c r="L2" s="2" t="s">
        <v>65</v>
      </c>
      <c r="M2" s="2" t="s">
        <v>66</v>
      </c>
    </row>
    <row r="3" spans="1:13" ht="15.75" thickBot="1" x14ac:dyDescent="0.3">
      <c r="A3" s="29">
        <v>0.46447916666666672</v>
      </c>
      <c r="B3" s="30">
        <v>98.069000000000003</v>
      </c>
      <c r="C3" s="30" t="s">
        <v>94</v>
      </c>
      <c r="D3" s="31">
        <v>3000000000</v>
      </c>
      <c r="E3" s="31">
        <v>2942070000</v>
      </c>
      <c r="F3" s="30" t="s">
        <v>73</v>
      </c>
      <c r="G3" s="30" t="s">
        <v>67</v>
      </c>
      <c r="H3" s="30" t="s">
        <v>95</v>
      </c>
      <c r="I3" s="30" t="s">
        <v>96</v>
      </c>
      <c r="J3" s="32">
        <v>43991</v>
      </c>
      <c r="K3" s="32">
        <v>44355</v>
      </c>
      <c r="L3" s="30" t="s">
        <v>77</v>
      </c>
      <c r="M3" s="30" t="s">
        <v>69</v>
      </c>
    </row>
    <row r="4" spans="1:13" ht="15.75" thickBot="1" x14ac:dyDescent="0.3"/>
    <row r="5" spans="1:13" ht="36.75" thickBot="1" x14ac:dyDescent="0.3">
      <c r="A5" s="3" t="s">
        <v>4</v>
      </c>
      <c r="B5" s="4" t="s">
        <v>97</v>
      </c>
      <c r="C5" s="3" t="s">
        <v>5</v>
      </c>
      <c r="D5" s="5" t="s">
        <v>98</v>
      </c>
    </row>
    <row r="6" spans="1:13" ht="24.75" thickBot="1" x14ac:dyDescent="0.3">
      <c r="A6" s="3" t="s">
        <v>7</v>
      </c>
      <c r="B6" s="5" t="s">
        <v>8</v>
      </c>
      <c r="C6" s="3" t="s">
        <v>9</v>
      </c>
      <c r="D6" s="5" t="s">
        <v>99</v>
      </c>
    </row>
    <row r="7" spans="1:13" ht="24.75" thickBot="1" x14ac:dyDescent="0.3">
      <c r="A7" s="3" t="s">
        <v>11</v>
      </c>
      <c r="B7" s="5" t="s">
        <v>3</v>
      </c>
      <c r="C7" s="3" t="s">
        <v>12</v>
      </c>
      <c r="D7" s="6">
        <v>43991</v>
      </c>
    </row>
    <row r="8" spans="1:13" ht="24.75" thickBot="1" x14ac:dyDescent="0.3">
      <c r="A8" s="3" t="s">
        <v>13</v>
      </c>
      <c r="B8" s="6">
        <v>44355</v>
      </c>
      <c r="C8" s="3" t="s">
        <v>14</v>
      </c>
      <c r="D8" s="5" t="s">
        <v>96</v>
      </c>
    </row>
    <row r="9" spans="1:13" ht="15.75" thickBot="1" x14ac:dyDescent="0.3">
      <c r="A9" s="3" t="s">
        <v>16</v>
      </c>
      <c r="B9" s="5" t="s">
        <v>17</v>
      </c>
      <c r="C9" s="3" t="s">
        <v>18</v>
      </c>
      <c r="D9" s="5" t="s">
        <v>19</v>
      </c>
    </row>
    <row r="10" spans="1:13" ht="15.75" thickBot="1" x14ac:dyDescent="0.3">
      <c r="A10" s="3" t="s">
        <v>20</v>
      </c>
      <c r="B10" s="5" t="s">
        <v>21</v>
      </c>
      <c r="C10" s="3" t="s">
        <v>22</v>
      </c>
      <c r="D10" s="5" t="s">
        <v>95</v>
      </c>
    </row>
    <row r="12" spans="1:13" ht="18" customHeight="1" x14ac:dyDescent="0.25">
      <c r="A12" s="9" t="s">
        <v>24</v>
      </c>
      <c r="B12" s="10" t="s">
        <v>97</v>
      </c>
    </row>
    <row r="13" spans="1:13" ht="18" customHeight="1" x14ac:dyDescent="0.25">
      <c r="A13" s="11" t="s">
        <v>25</v>
      </c>
      <c r="B13" s="34">
        <v>98.069000000000003</v>
      </c>
    </row>
    <row r="14" spans="1:13" ht="18" customHeight="1" x14ac:dyDescent="0.25">
      <c r="A14" s="11" t="s">
        <v>26</v>
      </c>
      <c r="B14" s="12">
        <v>2.3300000000000001E-2</v>
      </c>
    </row>
    <row r="15" spans="1:13" ht="18" customHeight="1" x14ac:dyDescent="0.25">
      <c r="A15" s="11" t="s">
        <v>27</v>
      </c>
      <c r="B15" s="14">
        <v>100</v>
      </c>
    </row>
    <row r="16" spans="1:13" ht="18" customHeight="1" x14ac:dyDescent="0.25">
      <c r="A16" s="11" t="s">
        <v>28</v>
      </c>
      <c r="B16" s="33">
        <v>0</v>
      </c>
    </row>
    <row r="17" spans="1:9" ht="18" customHeight="1" x14ac:dyDescent="0.25">
      <c r="A17" s="11" t="s">
        <v>29</v>
      </c>
      <c r="B17" s="14">
        <f>+B16*B15</f>
        <v>0</v>
      </c>
      <c r="C17" s="7"/>
    </row>
    <row r="18" spans="1:9" ht="18" customHeight="1" x14ac:dyDescent="0.25">
      <c r="A18" s="11" t="s">
        <v>30</v>
      </c>
      <c r="B18" s="14" t="s">
        <v>100</v>
      </c>
      <c r="C18" s="7"/>
    </row>
    <row r="19" spans="1:9" ht="18" customHeight="1" x14ac:dyDescent="0.25">
      <c r="A19" s="11" t="s">
        <v>32</v>
      </c>
      <c r="B19" s="18">
        <v>44355</v>
      </c>
    </row>
    <row r="20" spans="1:9" ht="18" customHeight="1" x14ac:dyDescent="0.25">
      <c r="A20" s="11" t="s">
        <v>33</v>
      </c>
      <c r="B20" s="18">
        <v>44046</v>
      </c>
    </row>
    <row r="21" spans="1:9" ht="18" customHeight="1" x14ac:dyDescent="0.25"/>
    <row r="22" spans="1:9" ht="18" customHeight="1" x14ac:dyDescent="0.25"/>
    <row r="23" spans="1:9" ht="18" customHeight="1" x14ac:dyDescent="0.25">
      <c r="A23" s="11"/>
      <c r="B23" s="10" t="s">
        <v>34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81</v>
      </c>
      <c r="H23" s="10" t="s">
        <v>83</v>
      </c>
    </row>
    <row r="24" spans="1:9" ht="18" customHeight="1" x14ac:dyDescent="0.25">
      <c r="A24" s="11" t="s">
        <v>32</v>
      </c>
      <c r="B24" s="18">
        <f>+B19</f>
        <v>44355</v>
      </c>
      <c r="C24" s="84">
        <f>+B24-$B$20</f>
        <v>309</v>
      </c>
      <c r="D24" s="14">
        <f t="shared" ref="D24" si="0">+C24/365</f>
        <v>0.84657534246575339</v>
      </c>
      <c r="E24" s="14">
        <v>100</v>
      </c>
      <c r="F24" s="14">
        <f>+E24/(1+$B$14)^D24</f>
        <v>98.068995910190495</v>
      </c>
      <c r="G24" s="14">
        <f>+D24*F24</f>
        <v>83.022793797942086</v>
      </c>
      <c r="H24" s="14">
        <f>+F24*(D24^2+D24)</f>
        <v>153.30784388989852</v>
      </c>
    </row>
    <row r="25" spans="1:9" ht="18" customHeight="1" x14ac:dyDescent="0.25">
      <c r="A25" s="11"/>
      <c r="B25" s="14"/>
      <c r="C25" s="14"/>
      <c r="D25" s="14"/>
      <c r="E25" s="10" t="s">
        <v>25</v>
      </c>
      <c r="F25" s="35">
        <f>SUM(F24:F24)</f>
        <v>98.068995910190495</v>
      </c>
      <c r="G25" s="35">
        <f>SUM(G24:G24)</f>
        <v>83.022793797942086</v>
      </c>
      <c r="H25" s="35">
        <f>SUM(H24:H24)</f>
        <v>153.30784388989852</v>
      </c>
    </row>
    <row r="26" spans="1:9" ht="18" customHeight="1" x14ac:dyDescent="0.25"/>
    <row r="27" spans="1:9" ht="18" customHeight="1" x14ac:dyDescent="0.25">
      <c r="G27" s="36" t="s">
        <v>43</v>
      </c>
      <c r="H27" s="69">
        <f>+G25/F25</f>
        <v>0.84657534246575339</v>
      </c>
      <c r="I27" s="46" t="s">
        <v>82</v>
      </c>
    </row>
    <row r="28" spans="1:9" ht="18" customHeight="1" x14ac:dyDescent="0.25">
      <c r="G28" s="41" t="s">
        <v>43</v>
      </c>
      <c r="H28" s="70">
        <f>+DURATION(B20,B19,B16,B14,1,1)</f>
        <v>0.84657534246575339</v>
      </c>
      <c r="I28" s="48" t="s">
        <v>82</v>
      </c>
    </row>
    <row r="29" spans="1:9" ht="18" customHeight="1" x14ac:dyDescent="0.25">
      <c r="G29" s="41" t="s">
        <v>46</v>
      </c>
      <c r="H29" s="47">
        <f>+H28/(1+B14)</f>
        <v>0.82729926948671295</v>
      </c>
      <c r="I29" s="49"/>
    </row>
    <row r="30" spans="1:9" ht="18" customHeight="1" x14ac:dyDescent="0.25">
      <c r="G30" s="41" t="s">
        <v>46</v>
      </c>
      <c r="H30" s="47">
        <f>+MDURATION(B20,B19,B16,B14,1,1)</f>
        <v>0.82729926948671295</v>
      </c>
      <c r="I30" s="49"/>
    </row>
    <row r="31" spans="1:9" ht="18" customHeight="1" x14ac:dyDescent="0.25">
      <c r="G31" s="43" t="s">
        <v>47</v>
      </c>
      <c r="H31" s="50">
        <f>1/(F25*(1+B14)^2)*H25</f>
        <v>1.4928861837917464</v>
      </c>
      <c r="I31" s="51"/>
    </row>
    <row r="32" spans="1:9" ht="18" customHeight="1" x14ac:dyDescent="0.25"/>
    <row r="33" spans="7:9" ht="18" customHeight="1" x14ac:dyDescent="0.25"/>
    <row r="34" spans="7:9" ht="18" customHeight="1" x14ac:dyDescent="0.25"/>
    <row r="35" spans="7:9" ht="18" customHeight="1" x14ac:dyDescent="0.25"/>
    <row r="36" spans="7:9" ht="18" customHeight="1" x14ac:dyDescent="0.25">
      <c r="G36" s="87" t="s">
        <v>84</v>
      </c>
      <c r="H36" s="88"/>
    </row>
    <row r="37" spans="7:9" ht="18" customHeight="1" x14ac:dyDescent="0.25">
      <c r="G37" s="52" t="s">
        <v>40</v>
      </c>
      <c r="H37" s="56">
        <v>1E-3</v>
      </c>
    </row>
    <row r="38" spans="7:9" ht="18" customHeight="1" x14ac:dyDescent="0.25">
      <c r="G38" s="53"/>
      <c r="H38" s="42" t="s">
        <v>41</v>
      </c>
    </row>
    <row r="39" spans="7:9" ht="18" customHeight="1" x14ac:dyDescent="0.25">
      <c r="G39" s="54" t="s">
        <v>85</v>
      </c>
      <c r="H39" s="57">
        <f>-H27*H37/(1+B14)</f>
        <v>-8.2729926948671287E-4</v>
      </c>
    </row>
    <row r="40" spans="7:9" ht="18" customHeight="1" x14ac:dyDescent="0.25">
      <c r="G40" s="54" t="s">
        <v>86</v>
      </c>
      <c r="H40" s="57">
        <f>-H29*H37</f>
        <v>-8.2729926948671298E-4</v>
      </c>
    </row>
    <row r="41" spans="7:9" ht="18" customHeight="1" x14ac:dyDescent="0.25">
      <c r="G41" s="55" t="s">
        <v>87</v>
      </c>
      <c r="H41" s="59">
        <f>-H29*H37+1/2*H31*H37^2</f>
        <v>-8.2655282639481709E-4</v>
      </c>
    </row>
    <row r="42" spans="7:9" ht="18" customHeight="1" x14ac:dyDescent="0.25"/>
    <row r="46" spans="7:9" x14ac:dyDescent="0.25">
      <c r="G46" s="60"/>
      <c r="H46" s="61" t="s">
        <v>50</v>
      </c>
      <c r="I46" s="37" t="s">
        <v>51</v>
      </c>
    </row>
    <row r="47" spans="7:9" x14ac:dyDescent="0.25">
      <c r="G47" s="53"/>
      <c r="H47" s="62">
        <v>2.3300000000000001E-2</v>
      </c>
      <c r="I47" s="71">
        <f>+H47+H37</f>
        <v>2.4300000000000002E-2</v>
      </c>
    </row>
    <row r="48" spans="7:9" x14ac:dyDescent="0.25">
      <c r="G48" s="63" t="s">
        <v>25</v>
      </c>
      <c r="H48" s="64">
        <v>98.068995910190495</v>
      </c>
      <c r="I48" s="65">
        <v>97.987936636625307</v>
      </c>
    </row>
    <row r="49" spans="7:9" x14ac:dyDescent="0.25">
      <c r="G49" s="66" t="s">
        <v>52</v>
      </c>
      <c r="H49" s="68">
        <f>+I48/H48-1</f>
        <v>-8.2655351788674114E-4</v>
      </c>
      <c r="I49" s="51"/>
    </row>
  </sheetData>
  <mergeCells count="2">
    <mergeCell ref="A1:F1"/>
    <mergeCell ref="G36:H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1BFB-CEC5-437E-97EB-4AD86F782C8A}">
  <dimension ref="A1:M53"/>
  <sheetViews>
    <sheetView showGridLines="0" zoomScale="160" zoomScaleNormal="160" workbookViewId="0">
      <selection activeCell="B13" sqref="B13"/>
    </sheetView>
  </sheetViews>
  <sheetFormatPr baseColWidth="10" defaultRowHeight="15" x14ac:dyDescent="0.25"/>
  <cols>
    <col min="1" max="1" width="19.5703125" customWidth="1"/>
    <col min="2" max="2" width="17.7109375" bestFit="1" customWidth="1"/>
    <col min="4" max="4" width="12.42578125" customWidth="1"/>
    <col min="5" max="5" width="19.5703125" customWidth="1"/>
    <col min="6" max="6" width="12.140625" customWidth="1"/>
    <col min="7" max="7" width="18.42578125" bestFit="1" customWidth="1"/>
    <col min="8" max="8" width="18.7109375" bestFit="1" customWidth="1"/>
    <col min="9" max="9" width="13.42578125" bestFit="1" customWidth="1"/>
  </cols>
  <sheetData>
    <row r="1" spans="1:13" ht="15.75" thickBot="1" x14ac:dyDescent="0.3">
      <c r="A1" t="s">
        <v>78</v>
      </c>
    </row>
    <row r="2" spans="1:13" ht="15.75" thickBot="1" x14ac:dyDescent="0.3">
      <c r="A2" s="1" t="s">
        <v>56</v>
      </c>
      <c r="B2" s="2" t="s">
        <v>57</v>
      </c>
      <c r="C2" s="2" t="s">
        <v>58</v>
      </c>
      <c r="D2" s="2" t="s">
        <v>0</v>
      </c>
      <c r="E2" s="2" t="s">
        <v>1</v>
      </c>
      <c r="F2" s="2" t="s">
        <v>59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  <c r="L2" s="2" t="s">
        <v>65</v>
      </c>
      <c r="M2" s="2" t="s">
        <v>66</v>
      </c>
    </row>
    <row r="3" spans="1:13" ht="15.75" thickBot="1" x14ac:dyDescent="0.3">
      <c r="A3" s="29">
        <v>0.38086805555555553</v>
      </c>
      <c r="B3" s="30">
        <v>109.02</v>
      </c>
      <c r="C3" s="30" t="s">
        <v>72</v>
      </c>
      <c r="D3" s="31">
        <v>3000000000</v>
      </c>
      <c r="E3" s="31">
        <v>3270606000</v>
      </c>
      <c r="F3" s="30" t="s">
        <v>73</v>
      </c>
      <c r="G3" s="30" t="s">
        <v>67</v>
      </c>
      <c r="H3" s="30" t="s">
        <v>68</v>
      </c>
      <c r="I3" s="30" t="s">
        <v>15</v>
      </c>
      <c r="J3" s="32">
        <v>41033</v>
      </c>
      <c r="K3" s="32">
        <v>44685</v>
      </c>
      <c r="L3" s="30" t="s">
        <v>74</v>
      </c>
      <c r="M3" s="30" t="s">
        <v>69</v>
      </c>
    </row>
    <row r="4" spans="1:13" ht="15.75" thickBot="1" x14ac:dyDescent="0.3"/>
    <row r="5" spans="1:13" ht="36.75" thickBot="1" x14ac:dyDescent="0.3">
      <c r="A5" s="3" t="s">
        <v>4</v>
      </c>
      <c r="B5" s="4" t="s">
        <v>70</v>
      </c>
      <c r="C5" s="3" t="s">
        <v>5</v>
      </c>
      <c r="D5" s="5" t="s">
        <v>6</v>
      </c>
    </row>
    <row r="6" spans="1:13" ht="24.75" thickBot="1" x14ac:dyDescent="0.3">
      <c r="A6" s="3" t="s">
        <v>7</v>
      </c>
      <c r="B6" s="5" t="s">
        <v>8</v>
      </c>
      <c r="C6" s="3" t="s">
        <v>9</v>
      </c>
      <c r="D6" s="5" t="s">
        <v>71</v>
      </c>
    </row>
    <row r="7" spans="1:13" ht="24.75" thickBot="1" x14ac:dyDescent="0.3">
      <c r="A7" s="3" t="s">
        <v>11</v>
      </c>
      <c r="B7" s="5" t="s">
        <v>3</v>
      </c>
      <c r="C7" s="3" t="s">
        <v>12</v>
      </c>
      <c r="D7" s="6">
        <v>41033</v>
      </c>
    </row>
    <row r="8" spans="1:13" ht="24.75" thickBot="1" x14ac:dyDescent="0.3">
      <c r="A8" s="3" t="s">
        <v>13</v>
      </c>
      <c r="B8" s="6">
        <v>44685</v>
      </c>
      <c r="C8" s="3" t="s">
        <v>14</v>
      </c>
      <c r="D8" s="5" t="s">
        <v>15</v>
      </c>
    </row>
    <row r="9" spans="1:13" ht="15.75" thickBot="1" x14ac:dyDescent="0.3">
      <c r="A9" s="3" t="s">
        <v>16</v>
      </c>
      <c r="B9" s="5" t="s">
        <v>17</v>
      </c>
      <c r="C9" s="3" t="s">
        <v>18</v>
      </c>
      <c r="D9" s="5" t="s">
        <v>19</v>
      </c>
    </row>
    <row r="10" spans="1:13" ht="15.75" thickBot="1" x14ac:dyDescent="0.3">
      <c r="A10" s="3" t="s">
        <v>20</v>
      </c>
      <c r="B10" s="5" t="s">
        <v>21</v>
      </c>
      <c r="C10" s="3" t="s">
        <v>22</v>
      </c>
      <c r="D10" s="5" t="s">
        <v>68</v>
      </c>
    </row>
    <row r="13" spans="1:13" ht="20.25" customHeight="1" x14ac:dyDescent="0.25">
      <c r="A13" s="9" t="s">
        <v>24</v>
      </c>
      <c r="B13" s="10" t="s">
        <v>70</v>
      </c>
      <c r="C13" s="11"/>
      <c r="D13" s="11"/>
      <c r="E13" s="11"/>
      <c r="F13" s="11"/>
    </row>
    <row r="14" spans="1:13" ht="20.25" customHeight="1" x14ac:dyDescent="0.25">
      <c r="A14" s="11" t="s">
        <v>25</v>
      </c>
      <c r="B14" s="34">
        <v>109.02</v>
      </c>
      <c r="C14" s="27"/>
      <c r="D14" s="11"/>
      <c r="E14" s="11"/>
      <c r="F14" s="11"/>
    </row>
    <row r="15" spans="1:13" ht="20.25" customHeight="1" x14ac:dyDescent="0.25">
      <c r="A15" s="11" t="s">
        <v>26</v>
      </c>
      <c r="B15" s="12">
        <v>2.6800000000000001E-2</v>
      </c>
      <c r="C15" s="11"/>
      <c r="D15" s="11"/>
      <c r="E15" s="11"/>
      <c r="F15" s="11"/>
    </row>
    <row r="16" spans="1:13" ht="20.25" customHeight="1" x14ac:dyDescent="0.25">
      <c r="A16" s="11" t="s">
        <v>27</v>
      </c>
      <c r="B16" s="14">
        <v>100</v>
      </c>
      <c r="C16" s="11"/>
      <c r="D16" s="11"/>
      <c r="E16" s="11"/>
      <c r="F16" s="11"/>
    </row>
    <row r="17" spans="1:9" ht="20.25" customHeight="1" x14ac:dyDescent="0.25">
      <c r="A17" s="11" t="s">
        <v>28</v>
      </c>
      <c r="B17" s="33">
        <v>7.0000000000000007E-2</v>
      </c>
      <c r="C17" s="11"/>
      <c r="D17" s="11"/>
      <c r="E17" s="11"/>
      <c r="F17" s="11"/>
    </row>
    <row r="18" spans="1:9" ht="20.25" customHeight="1" x14ac:dyDescent="0.25">
      <c r="A18" s="11" t="s">
        <v>29</v>
      </c>
      <c r="B18" s="14">
        <f>+B17*B16</f>
        <v>7.0000000000000009</v>
      </c>
      <c r="C18" s="11"/>
      <c r="D18" s="11"/>
      <c r="E18" s="11"/>
      <c r="F18" s="11"/>
    </row>
    <row r="19" spans="1:9" ht="20.25" customHeight="1" x14ac:dyDescent="0.25">
      <c r="A19" s="11" t="s">
        <v>30</v>
      </c>
      <c r="B19" s="14" t="s">
        <v>31</v>
      </c>
      <c r="C19" s="11"/>
      <c r="D19" s="11"/>
      <c r="E19" s="11"/>
      <c r="F19" s="11"/>
    </row>
    <row r="20" spans="1:9" ht="20.25" customHeight="1" x14ac:dyDescent="0.25">
      <c r="A20" s="11" t="s">
        <v>32</v>
      </c>
      <c r="B20" s="18">
        <v>44685</v>
      </c>
      <c r="C20" s="11"/>
      <c r="D20" s="11"/>
      <c r="E20" s="11"/>
      <c r="F20" s="11"/>
    </row>
    <row r="21" spans="1:9" ht="20.25" customHeight="1" x14ac:dyDescent="0.25">
      <c r="A21" s="11" t="s">
        <v>33</v>
      </c>
      <c r="B21" s="18">
        <v>44046</v>
      </c>
      <c r="C21" s="11"/>
      <c r="D21" s="11"/>
      <c r="E21" s="11"/>
      <c r="F21" s="11"/>
    </row>
    <row r="22" spans="1:9" ht="20.25" customHeight="1" x14ac:dyDescent="0.25">
      <c r="A22" s="11"/>
      <c r="B22" s="11"/>
      <c r="C22" s="11"/>
      <c r="D22" s="11"/>
      <c r="E22" s="11"/>
      <c r="F22" s="11"/>
    </row>
    <row r="23" spans="1:9" ht="20.25" customHeight="1" x14ac:dyDescent="0.25">
      <c r="A23" s="11"/>
      <c r="B23" s="10" t="s">
        <v>34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81</v>
      </c>
      <c r="H23" s="10" t="s">
        <v>83</v>
      </c>
    </row>
    <row r="24" spans="1:9" ht="20.25" customHeight="1" x14ac:dyDescent="0.25">
      <c r="A24" s="11" t="s">
        <v>39</v>
      </c>
      <c r="B24" s="18">
        <v>44320</v>
      </c>
      <c r="C24" s="14">
        <f>+B24-$B$21</f>
        <v>274</v>
      </c>
      <c r="D24" s="14">
        <f>+C24/365</f>
        <v>0.75068493150684934</v>
      </c>
      <c r="E24" s="14">
        <f>+$B$18</f>
        <v>7.0000000000000009</v>
      </c>
      <c r="F24" s="14">
        <f>+E24/(1+$B$15)^D24</f>
        <v>6.8623960353434788</v>
      </c>
      <c r="G24" s="14">
        <f>+D24*F24</f>
        <v>5.1514972977646938</v>
      </c>
      <c r="H24" s="14">
        <f>+F24*(D24^2+D24)</f>
        <v>9.0186486938949013</v>
      </c>
    </row>
    <row r="25" spans="1:9" ht="20.25" customHeight="1" x14ac:dyDescent="0.25">
      <c r="A25" s="11" t="s">
        <v>32</v>
      </c>
      <c r="B25" s="18">
        <v>44685</v>
      </c>
      <c r="C25" s="14">
        <f t="shared" ref="C25" si="0">+B25-$B$21</f>
        <v>639</v>
      </c>
      <c r="D25" s="14">
        <f t="shared" ref="D25" si="1">+C25/365</f>
        <v>1.7506849315068493</v>
      </c>
      <c r="E25" s="14">
        <f>+$B$18+B16</f>
        <v>107</v>
      </c>
      <c r="F25" s="14">
        <f t="shared" ref="F25" si="2">+E25/(1+$B$15)^D25</f>
        <v>102.15877007370362</v>
      </c>
      <c r="G25" s="14">
        <f>+D25*F25</f>
        <v>178.84781938930578</v>
      </c>
      <c r="H25" s="14">
        <f>+F25*(D25^2+D25)</f>
        <v>491.95400182702195</v>
      </c>
    </row>
    <row r="26" spans="1:9" ht="20.25" customHeight="1" x14ac:dyDescent="0.25">
      <c r="A26" s="11"/>
      <c r="B26" s="14"/>
      <c r="C26" s="14"/>
      <c r="D26" s="14"/>
      <c r="E26" s="10" t="s">
        <v>25</v>
      </c>
      <c r="F26" s="35">
        <f>SUM(F24:F25)</f>
        <v>109.0211661090471</v>
      </c>
      <c r="G26" s="35">
        <f>SUM(G24:G25)</f>
        <v>183.99931668707049</v>
      </c>
      <c r="H26" s="35">
        <f>SUM(H24:H25)</f>
        <v>500.97265052091683</v>
      </c>
    </row>
    <row r="27" spans="1:9" ht="20.25" customHeight="1" x14ac:dyDescent="0.25"/>
    <row r="28" spans="1:9" ht="20.25" customHeight="1" x14ac:dyDescent="0.25">
      <c r="E28" s="36" t="s">
        <v>42</v>
      </c>
      <c r="F28" s="37">
        <f>+PRICE(B21,B20,B17,B15,B16,1,1)</f>
        <v>107.27596062959505</v>
      </c>
      <c r="G28" s="36" t="s">
        <v>43</v>
      </c>
      <c r="H28" s="69">
        <f>+G26/F26</f>
        <v>1.6877393927618367</v>
      </c>
      <c r="I28" s="46" t="s">
        <v>82</v>
      </c>
    </row>
    <row r="29" spans="1:9" ht="20.25" customHeight="1" x14ac:dyDescent="0.25">
      <c r="E29" s="89" t="s">
        <v>44</v>
      </c>
      <c r="F29" s="90"/>
      <c r="G29" s="41" t="s">
        <v>43</v>
      </c>
      <c r="H29" s="70">
        <f>+DURATION(B21,B20,B17,B15,1,1)</f>
        <v>1.6877393927618365</v>
      </c>
      <c r="I29" s="48" t="s">
        <v>82</v>
      </c>
    </row>
    <row r="30" spans="1:9" ht="20.25" customHeight="1" x14ac:dyDescent="0.25">
      <c r="E30" s="38" t="s">
        <v>45</v>
      </c>
      <c r="F30" s="39">
        <v>43955</v>
      </c>
      <c r="G30" s="41" t="s">
        <v>46</v>
      </c>
      <c r="H30" s="47">
        <f>+H29/(1+B15)</f>
        <v>1.6436885398927119</v>
      </c>
      <c r="I30" s="49"/>
    </row>
    <row r="31" spans="1:9" ht="20.25" customHeight="1" x14ac:dyDescent="0.25">
      <c r="E31" s="38" t="s">
        <v>33</v>
      </c>
      <c r="F31" s="39">
        <f>+B21</f>
        <v>44046</v>
      </c>
      <c r="G31" s="41" t="s">
        <v>46</v>
      </c>
      <c r="H31" s="47">
        <f>+MDURATION(B21,B20,B17,B15,1,1)</f>
        <v>1.6436885398927119</v>
      </c>
      <c r="I31" s="49"/>
    </row>
    <row r="32" spans="1:9" ht="20.25" customHeight="1" x14ac:dyDescent="0.25">
      <c r="E32" s="38" t="s">
        <v>48</v>
      </c>
      <c r="F32" s="40">
        <v>365</v>
      </c>
      <c r="G32" s="43" t="s">
        <v>47</v>
      </c>
      <c r="H32" s="50">
        <f>1/(F26*(1+B15)^2)*H26</f>
        <v>4.3584440391916601</v>
      </c>
      <c r="I32" s="51"/>
    </row>
    <row r="33" spans="1:9" ht="20.25" customHeight="1" x14ac:dyDescent="0.25">
      <c r="E33" s="38" t="s">
        <v>49</v>
      </c>
      <c r="F33" s="40">
        <f>+F31-F30-1</f>
        <v>90</v>
      </c>
    </row>
    <row r="34" spans="1:9" ht="20.25" customHeight="1" x14ac:dyDescent="0.25">
      <c r="E34" s="41" t="s">
        <v>44</v>
      </c>
      <c r="F34" s="42">
        <f>+B18*F33/F32</f>
        <v>1.7260273972602742</v>
      </c>
    </row>
    <row r="35" spans="1:9" ht="20.25" customHeight="1" x14ac:dyDescent="0.25">
      <c r="E35" s="43" t="s">
        <v>25</v>
      </c>
      <c r="F35" s="44">
        <f>+F34+F28</f>
        <v>109.00198802685532</v>
      </c>
    </row>
    <row r="37" spans="1:9" x14ac:dyDescent="0.25">
      <c r="G37" s="87" t="s">
        <v>84</v>
      </c>
      <c r="H37" s="88"/>
    </row>
    <row r="38" spans="1:9" x14ac:dyDescent="0.25">
      <c r="A38" s="11" t="s">
        <v>26</v>
      </c>
      <c r="B38" s="12">
        <v>2.6800000000000001E-2</v>
      </c>
      <c r="G38" s="52" t="s">
        <v>40</v>
      </c>
      <c r="H38" s="56">
        <v>1E-3</v>
      </c>
    </row>
    <row r="39" spans="1:9" x14ac:dyDescent="0.25">
      <c r="A39" s="11" t="s">
        <v>25</v>
      </c>
      <c r="B39" s="34">
        <v>109.0211661090471</v>
      </c>
      <c r="G39" s="53"/>
      <c r="H39" s="42" t="s">
        <v>41</v>
      </c>
    </row>
    <row r="40" spans="1:9" x14ac:dyDescent="0.25">
      <c r="A40" s="11" t="s">
        <v>27</v>
      </c>
      <c r="B40" s="82">
        <v>3000000</v>
      </c>
      <c r="G40" s="54" t="s">
        <v>85</v>
      </c>
      <c r="H40" s="57">
        <f>-H28*H38/(1+B15)</f>
        <v>-1.6436885398927121E-3</v>
      </c>
    </row>
    <row r="41" spans="1:9" x14ac:dyDescent="0.25">
      <c r="A41" s="11" t="s">
        <v>89</v>
      </c>
      <c r="B41" s="82">
        <f>+B40*B39/100</f>
        <v>3270634.983271413</v>
      </c>
      <c r="G41" s="54" t="s">
        <v>86</v>
      </c>
      <c r="H41" s="57">
        <f>-H30*H38</f>
        <v>-1.6436885398927118E-3</v>
      </c>
    </row>
    <row r="42" spans="1:9" x14ac:dyDescent="0.25">
      <c r="G42" s="55" t="s">
        <v>87</v>
      </c>
      <c r="H42" s="59">
        <f>-H30*H38+1/2*H32*H38^2</f>
        <v>-1.641509317873116E-3</v>
      </c>
    </row>
    <row r="43" spans="1:9" x14ac:dyDescent="0.25">
      <c r="A43" s="11" t="s">
        <v>26</v>
      </c>
      <c r="B43" s="12">
        <v>3.78E-2</v>
      </c>
      <c r="C43" s="11" t="s">
        <v>90</v>
      </c>
    </row>
    <row r="44" spans="1:9" x14ac:dyDescent="0.25">
      <c r="A44" s="11" t="s">
        <v>25</v>
      </c>
      <c r="B44" s="34">
        <v>108.84220656147559</v>
      </c>
    </row>
    <row r="45" spans="1:9" x14ac:dyDescent="0.25">
      <c r="A45" s="11" t="s">
        <v>91</v>
      </c>
      <c r="B45" s="83">
        <f>+B44/B39-1</f>
        <v>-1.6415119555087676E-3</v>
      </c>
    </row>
    <row r="46" spans="1:9" x14ac:dyDescent="0.25">
      <c r="A46" s="11" t="s">
        <v>27</v>
      </c>
      <c r="B46" s="82">
        <v>3000000</v>
      </c>
    </row>
    <row r="47" spans="1:9" x14ac:dyDescent="0.25">
      <c r="A47" s="11" t="s">
        <v>89</v>
      </c>
      <c r="B47" s="82">
        <f>+B46*B44/100</f>
        <v>3265266.1968442677</v>
      </c>
      <c r="G47" s="60"/>
      <c r="H47" s="61" t="s">
        <v>50</v>
      </c>
      <c r="I47" s="37" t="s">
        <v>51</v>
      </c>
    </row>
    <row r="48" spans="1:9" x14ac:dyDescent="0.25">
      <c r="G48" s="53"/>
      <c r="H48" s="62">
        <v>2.6800000000000001E-2</v>
      </c>
      <c r="I48" s="71">
        <f>+H48+H38</f>
        <v>2.7800000000000002E-2</v>
      </c>
    </row>
    <row r="49" spans="1:9" x14ac:dyDescent="0.25">
      <c r="A49" s="11" t="s">
        <v>26</v>
      </c>
      <c r="B49" s="12">
        <v>1.6799999999999999E-2</v>
      </c>
      <c r="C49" s="11" t="s">
        <v>92</v>
      </c>
      <c r="G49" s="63" t="s">
        <v>25</v>
      </c>
      <c r="H49" s="64">
        <v>109.0211661090471</v>
      </c>
      <c r="I49" s="65">
        <v>108.84220656147559</v>
      </c>
    </row>
    <row r="50" spans="1:9" x14ac:dyDescent="0.25">
      <c r="A50" s="11" t="s">
        <v>25</v>
      </c>
      <c r="B50" s="34">
        <v>109.20060081993427</v>
      </c>
      <c r="G50" s="66" t="s">
        <v>52</v>
      </c>
      <c r="H50" s="68">
        <f>+I49/H49-1</f>
        <v>-1.6415119555087676E-3</v>
      </c>
      <c r="I50" s="51"/>
    </row>
    <row r="51" spans="1:9" x14ac:dyDescent="0.25">
      <c r="A51" s="11" t="s">
        <v>91</v>
      </c>
      <c r="B51" s="83">
        <f>+B50/B39-1</f>
        <v>1.6458704056392381E-3</v>
      </c>
    </row>
    <row r="52" spans="1:9" x14ac:dyDescent="0.25">
      <c r="A52" s="11" t="s">
        <v>27</v>
      </c>
      <c r="B52" s="82">
        <v>3000000</v>
      </c>
    </row>
    <row r="53" spans="1:9" x14ac:dyDescent="0.25">
      <c r="A53" s="11" t="s">
        <v>89</v>
      </c>
      <c r="B53" s="82">
        <f>+B52*B50/100</f>
        <v>3276018.024598028</v>
      </c>
    </row>
  </sheetData>
  <mergeCells count="2">
    <mergeCell ref="E29:F29"/>
    <mergeCell ref="G37:H37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507D-7E77-45FC-B87D-25631FE7E713}">
  <dimension ref="A1:M65"/>
  <sheetViews>
    <sheetView showGridLines="0" zoomScale="175" zoomScaleNormal="175" workbookViewId="0">
      <selection activeCell="B13" sqref="B13"/>
    </sheetView>
  </sheetViews>
  <sheetFormatPr baseColWidth="10" defaultRowHeight="15" x14ac:dyDescent="0.25"/>
  <cols>
    <col min="1" max="1" width="16.140625" customWidth="1"/>
    <col min="2" max="2" width="16.42578125" customWidth="1"/>
    <col min="3" max="5" width="20.5703125" customWidth="1"/>
    <col min="6" max="6" width="15.5703125" bestFit="1" customWidth="1"/>
    <col min="7" max="7" width="18.42578125" bestFit="1" customWidth="1"/>
    <col min="8" max="8" width="17.85546875" bestFit="1" customWidth="1"/>
    <col min="9" max="9" width="13.42578125" bestFit="1" customWidth="1"/>
  </cols>
  <sheetData>
    <row r="1" spans="1:13" ht="15.75" thickBot="1" x14ac:dyDescent="0.3">
      <c r="A1" t="s">
        <v>76</v>
      </c>
    </row>
    <row r="2" spans="1:13" ht="15.75" thickBot="1" x14ac:dyDescent="0.3">
      <c r="A2" s="1" t="s">
        <v>56</v>
      </c>
      <c r="B2" s="2" t="s">
        <v>57</v>
      </c>
      <c r="C2" s="2" t="s">
        <v>58</v>
      </c>
      <c r="D2" s="2" t="s">
        <v>0</v>
      </c>
      <c r="E2" s="2" t="s">
        <v>1</v>
      </c>
      <c r="F2" s="2" t="s">
        <v>59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  <c r="L2" s="2" t="s">
        <v>65</v>
      </c>
      <c r="M2" s="2" t="s">
        <v>66</v>
      </c>
    </row>
    <row r="3" spans="1:13" ht="15.75" thickBot="1" x14ac:dyDescent="0.3">
      <c r="A3" s="29">
        <v>0.38108796296296293</v>
      </c>
      <c r="B3" s="30">
        <v>122.91800000000001</v>
      </c>
      <c r="C3" s="30" t="s">
        <v>75</v>
      </c>
      <c r="D3" s="31">
        <v>1000000000</v>
      </c>
      <c r="E3" s="31">
        <v>1229184000</v>
      </c>
      <c r="F3" s="30" t="s">
        <v>73</v>
      </c>
      <c r="G3" s="30" t="s">
        <v>67</v>
      </c>
      <c r="H3" s="30" t="s">
        <v>55</v>
      </c>
      <c r="I3" s="30" t="s">
        <v>15</v>
      </c>
      <c r="J3" s="32">
        <v>40781</v>
      </c>
      <c r="K3" s="32">
        <v>46260</v>
      </c>
      <c r="L3" s="30" t="s">
        <v>77</v>
      </c>
      <c r="M3" s="30" t="s">
        <v>69</v>
      </c>
    </row>
    <row r="4" spans="1:13" ht="15.75" thickBot="1" x14ac:dyDescent="0.3"/>
    <row r="5" spans="1:13" ht="15.75" thickBot="1" x14ac:dyDescent="0.3">
      <c r="A5" s="3" t="s">
        <v>4</v>
      </c>
      <c r="B5" s="4" t="s">
        <v>53</v>
      </c>
      <c r="C5" s="3" t="s">
        <v>5</v>
      </c>
      <c r="D5" s="3"/>
      <c r="E5" s="5" t="s">
        <v>6</v>
      </c>
      <c r="F5" s="25"/>
    </row>
    <row r="6" spans="1:13" ht="15.75" thickBot="1" x14ac:dyDescent="0.3">
      <c r="A6" s="3" t="s">
        <v>7</v>
      </c>
      <c r="B6" s="5" t="s">
        <v>8</v>
      </c>
      <c r="C6" s="3" t="s">
        <v>9</v>
      </c>
      <c r="D6" s="3"/>
      <c r="E6" s="5" t="s">
        <v>54</v>
      </c>
    </row>
    <row r="7" spans="1:13" ht="15.75" thickBot="1" x14ac:dyDescent="0.3">
      <c r="A7" s="3" t="s">
        <v>11</v>
      </c>
      <c r="B7" s="5" t="s">
        <v>3</v>
      </c>
      <c r="C7" s="3" t="s">
        <v>12</v>
      </c>
      <c r="D7" s="3"/>
      <c r="E7" s="6">
        <v>40781</v>
      </c>
    </row>
    <row r="8" spans="1:13" ht="24.75" thickBot="1" x14ac:dyDescent="0.3">
      <c r="A8" s="3" t="s">
        <v>13</v>
      </c>
      <c r="B8" s="6">
        <v>46260</v>
      </c>
      <c r="C8" s="3" t="s">
        <v>14</v>
      </c>
      <c r="D8" s="3"/>
      <c r="E8" s="5" t="s">
        <v>15</v>
      </c>
    </row>
    <row r="9" spans="1:13" ht="15.75" thickBot="1" x14ac:dyDescent="0.3">
      <c r="A9" s="3" t="s">
        <v>16</v>
      </c>
      <c r="B9" s="5" t="s">
        <v>17</v>
      </c>
      <c r="C9" s="3" t="s">
        <v>18</v>
      </c>
      <c r="D9" s="3"/>
      <c r="E9" s="5" t="s">
        <v>19</v>
      </c>
    </row>
    <row r="10" spans="1:13" ht="24.75" thickBot="1" x14ac:dyDescent="0.3">
      <c r="A10" s="3" t="s">
        <v>20</v>
      </c>
      <c r="B10" s="5" t="s">
        <v>21</v>
      </c>
      <c r="C10" s="3" t="s">
        <v>22</v>
      </c>
      <c r="D10" s="3"/>
      <c r="E10" s="5" t="s">
        <v>55</v>
      </c>
    </row>
    <row r="13" spans="1:13" ht="17.25" customHeight="1" x14ac:dyDescent="0.25">
      <c r="A13" s="9" t="s">
        <v>24</v>
      </c>
      <c r="B13" s="10" t="s">
        <v>53</v>
      </c>
      <c r="C13" s="11"/>
      <c r="D13" s="11"/>
      <c r="E13" s="11"/>
      <c r="F13" s="11"/>
    </row>
    <row r="14" spans="1:13" ht="17.25" customHeight="1" x14ac:dyDescent="0.25">
      <c r="A14" s="11" t="s">
        <v>25</v>
      </c>
      <c r="B14" s="20">
        <v>122.91800000000001</v>
      </c>
      <c r="C14" s="27"/>
      <c r="D14" s="11"/>
      <c r="E14" s="11"/>
      <c r="F14" s="11"/>
    </row>
    <row r="15" spans="1:13" ht="17.25" customHeight="1" x14ac:dyDescent="0.25">
      <c r="A15" s="11" t="s">
        <v>26</v>
      </c>
      <c r="B15" s="22">
        <v>4.4499999999999998E-2</v>
      </c>
      <c r="C15" s="11"/>
      <c r="D15" s="11"/>
      <c r="E15" s="11"/>
      <c r="F15" s="11"/>
    </row>
    <row r="16" spans="1:13" ht="17.25" customHeight="1" x14ac:dyDescent="0.25">
      <c r="A16" s="11" t="s">
        <v>27</v>
      </c>
      <c r="B16" s="21">
        <v>100</v>
      </c>
      <c r="C16" s="11"/>
      <c r="D16" s="11"/>
      <c r="E16" s="11"/>
      <c r="F16" s="11"/>
    </row>
    <row r="17" spans="1:8" ht="17.25" customHeight="1" x14ac:dyDescent="0.25">
      <c r="A17" s="11" t="s">
        <v>28</v>
      </c>
      <c r="B17" s="28">
        <v>7.4999999999999997E-2</v>
      </c>
      <c r="C17" s="11"/>
      <c r="D17" s="11"/>
      <c r="E17" s="11"/>
      <c r="F17" s="11"/>
    </row>
    <row r="18" spans="1:8" ht="17.25" customHeight="1" x14ac:dyDescent="0.25">
      <c r="A18" s="11" t="s">
        <v>29</v>
      </c>
      <c r="B18" s="21">
        <f>+B17*B16</f>
        <v>7.5</v>
      </c>
      <c r="C18" s="11"/>
      <c r="D18" s="11"/>
      <c r="E18" s="11"/>
      <c r="F18" s="11"/>
    </row>
    <row r="19" spans="1:8" ht="17.25" customHeight="1" x14ac:dyDescent="0.25">
      <c r="A19" s="11" t="s">
        <v>30</v>
      </c>
      <c r="B19" s="21" t="s">
        <v>31</v>
      </c>
      <c r="C19" s="11"/>
      <c r="D19" s="11"/>
      <c r="E19" s="11"/>
      <c r="F19" s="11"/>
    </row>
    <row r="20" spans="1:8" ht="17.25" customHeight="1" x14ac:dyDescent="0.25">
      <c r="A20" s="11" t="s">
        <v>32</v>
      </c>
      <c r="B20" s="23">
        <v>46260</v>
      </c>
      <c r="C20" s="11"/>
      <c r="D20" s="11"/>
      <c r="E20" s="11"/>
      <c r="F20" s="11"/>
    </row>
    <row r="21" spans="1:8" ht="17.25" customHeight="1" x14ac:dyDescent="0.25">
      <c r="A21" s="11" t="s">
        <v>33</v>
      </c>
      <c r="B21" s="23">
        <v>44046</v>
      </c>
      <c r="C21" s="11"/>
      <c r="D21" s="11"/>
      <c r="E21" s="11"/>
      <c r="F21" s="11"/>
    </row>
    <row r="22" spans="1:8" ht="17.25" customHeight="1" x14ac:dyDescent="0.25">
      <c r="A22" s="11"/>
      <c r="B22" s="11"/>
      <c r="C22" s="11"/>
      <c r="D22" s="11"/>
      <c r="E22" s="11"/>
      <c r="F22" s="11"/>
    </row>
    <row r="23" spans="1:8" ht="17.25" customHeight="1" x14ac:dyDescent="0.25">
      <c r="A23" s="11"/>
      <c r="B23" s="10" t="s">
        <v>34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81</v>
      </c>
      <c r="H23" s="10" t="s">
        <v>83</v>
      </c>
    </row>
    <row r="24" spans="1:8" ht="17.25" customHeight="1" x14ac:dyDescent="0.25">
      <c r="A24" s="11" t="s">
        <v>39</v>
      </c>
      <c r="B24" s="18">
        <v>44069</v>
      </c>
      <c r="C24" s="14">
        <f>+B24-$B$21</f>
        <v>23</v>
      </c>
      <c r="D24" s="14">
        <f>+C24/365</f>
        <v>6.3013698630136991E-2</v>
      </c>
      <c r="E24" s="14">
        <f>+$B$18</f>
        <v>7.5</v>
      </c>
      <c r="F24" s="14">
        <f>+E24/(1+$B$15)^D24</f>
        <v>7.4794518790553894</v>
      </c>
      <c r="G24" s="14">
        <f>+F24*D24</f>
        <v>0.47130792662540816</v>
      </c>
      <c r="H24" s="14">
        <f>+F24*(D24^2+D24)</f>
        <v>0.50100678227577633</v>
      </c>
    </row>
    <row r="25" spans="1:8" ht="17.25" customHeight="1" x14ac:dyDescent="0.25">
      <c r="A25" s="11"/>
      <c r="B25" s="18">
        <v>44434</v>
      </c>
      <c r="C25" s="14">
        <f>+B25-$B$21</f>
        <v>388</v>
      </c>
      <c r="D25" s="14">
        <f t="shared" ref="D25:D30" si="0">+C25/365</f>
        <v>1.0630136986301371</v>
      </c>
      <c r="E25" s="14">
        <f t="shared" ref="E25:E29" si="1">+$B$18</f>
        <v>7.5</v>
      </c>
      <c r="F25" s="14">
        <f t="shared" ref="F25:F30" si="2">+E25/(1+$B$15)^D25</f>
        <v>7.1607964375829489</v>
      </c>
      <c r="G25" s="14">
        <f t="shared" ref="G25:G30" si="3">+F25*D25</f>
        <v>7.6120247062525603</v>
      </c>
      <c r="H25" s="14">
        <f t="shared" ref="H25:H30" si="4">+F25*(D25^2+D25)</f>
        <v>15.703711243310076</v>
      </c>
    </row>
    <row r="26" spans="1:8" ht="17.25" customHeight="1" x14ac:dyDescent="0.25">
      <c r="A26" s="11"/>
      <c r="B26" s="18">
        <v>44799</v>
      </c>
      <c r="C26" s="14">
        <f>+B26-$B$21</f>
        <v>753</v>
      </c>
      <c r="D26" s="14">
        <f t="shared" si="0"/>
        <v>2.0630136986301371</v>
      </c>
      <c r="E26" s="14">
        <f t="shared" si="1"/>
        <v>7.5</v>
      </c>
      <c r="F26" s="14">
        <f t="shared" si="2"/>
        <v>6.8557170297586874</v>
      </c>
      <c r="G26" s="14">
        <f t="shared" si="3"/>
        <v>14.143438146324087</v>
      </c>
      <c r="H26" s="14">
        <f t="shared" si="4"/>
        <v>43.321544787918711</v>
      </c>
    </row>
    <row r="27" spans="1:8" ht="17.25" customHeight="1" x14ac:dyDescent="0.25">
      <c r="A27" s="11"/>
      <c r="B27" s="18">
        <v>45164</v>
      </c>
      <c r="C27" s="14">
        <f>+B27-$B$21</f>
        <v>1118</v>
      </c>
      <c r="D27" s="14">
        <f t="shared" si="0"/>
        <v>3.0630136986301371</v>
      </c>
      <c r="E27" s="14">
        <f t="shared" si="1"/>
        <v>7.5</v>
      </c>
      <c r="F27" s="14">
        <f t="shared" si="2"/>
        <v>6.5636352606593471</v>
      </c>
      <c r="G27" s="14">
        <f t="shared" si="3"/>
        <v>20.10450471621137</v>
      </c>
      <c r="H27" s="14">
        <f t="shared" si="4"/>
        <v>81.684878066140996</v>
      </c>
    </row>
    <row r="28" spans="1:8" ht="17.25" customHeight="1" x14ac:dyDescent="0.25">
      <c r="A28" s="11" t="s">
        <v>88</v>
      </c>
      <c r="B28" s="78">
        <v>45530</v>
      </c>
      <c r="C28" s="79">
        <f>+B28-$B$21-1</f>
        <v>1483</v>
      </c>
      <c r="D28" s="14">
        <f t="shared" si="0"/>
        <v>4.0630136986301366</v>
      </c>
      <c r="E28" s="14">
        <f t="shared" si="1"/>
        <v>7.5</v>
      </c>
      <c r="F28" s="14">
        <f t="shared" si="2"/>
        <v>6.2839973773665356</v>
      </c>
      <c r="G28" s="14">
        <f t="shared" si="3"/>
        <v>25.531967426396086</v>
      </c>
      <c r="H28" s="14">
        <f t="shared" si="4"/>
        <v>129.26870083282182</v>
      </c>
    </row>
    <row r="29" spans="1:8" ht="17.25" customHeight="1" x14ac:dyDescent="0.25">
      <c r="A29" s="11"/>
      <c r="B29" s="18">
        <v>45895</v>
      </c>
      <c r="C29" s="14">
        <f>+B29-$B$21-1</f>
        <v>1848</v>
      </c>
      <c r="D29" s="14">
        <f t="shared" si="0"/>
        <v>5.0630136986301366</v>
      </c>
      <c r="E29" s="14">
        <f t="shared" si="1"/>
        <v>7.5</v>
      </c>
      <c r="F29" s="14">
        <f t="shared" si="2"/>
        <v>6.0162732191158792</v>
      </c>
      <c r="G29" s="14">
        <f t="shared" si="3"/>
        <v>30.460473723085325</v>
      </c>
      <c r="H29" s="14">
        <f t="shared" si="4"/>
        <v>184.68226944982965</v>
      </c>
    </row>
    <row r="30" spans="1:8" ht="17.25" customHeight="1" x14ac:dyDescent="0.25">
      <c r="A30" s="11" t="s">
        <v>32</v>
      </c>
      <c r="B30" s="18">
        <v>46260</v>
      </c>
      <c r="C30" s="14">
        <f>+B30-$B$21-1</f>
        <v>2213</v>
      </c>
      <c r="D30" s="14">
        <f t="shared" si="0"/>
        <v>6.0630136986301366</v>
      </c>
      <c r="E30" s="14">
        <f>+$B$18+B16</f>
        <v>107.5</v>
      </c>
      <c r="F30" s="14">
        <f t="shared" si="2"/>
        <v>82.55935804116254</v>
      </c>
      <c r="G30" s="14">
        <f t="shared" si="3"/>
        <v>500.55851875367858</v>
      </c>
      <c r="H30" s="14">
        <f t="shared" si="4"/>
        <v>3535.4516749232421</v>
      </c>
    </row>
    <row r="31" spans="1:8" ht="17.25" customHeight="1" x14ac:dyDescent="0.25">
      <c r="A31" s="11"/>
      <c r="B31" s="14"/>
      <c r="C31" s="14"/>
      <c r="D31" s="14"/>
      <c r="E31" s="10" t="s">
        <v>25</v>
      </c>
      <c r="F31" s="16">
        <f>SUM(F24:F30)</f>
        <v>122.91922924470133</v>
      </c>
      <c r="G31" s="16">
        <f>SUM(G24:G30)</f>
        <v>598.88223539857336</v>
      </c>
      <c r="H31" s="16">
        <f>SUM(H24:H30)</f>
        <v>3990.6137860855392</v>
      </c>
    </row>
    <row r="32" spans="1:8" ht="17.25" customHeight="1" x14ac:dyDescent="0.25">
      <c r="A32" s="11"/>
      <c r="B32" s="11"/>
      <c r="C32" s="11"/>
      <c r="D32" s="11"/>
      <c r="E32" s="10"/>
      <c r="F32" s="14"/>
    </row>
    <row r="33" spans="1:9" ht="17.25" customHeight="1" x14ac:dyDescent="0.25">
      <c r="A33" s="11"/>
      <c r="B33" s="11"/>
      <c r="C33" s="11"/>
      <c r="D33" s="11"/>
      <c r="E33" s="36" t="s">
        <v>42</v>
      </c>
      <c r="F33" s="80">
        <f>+PRICE(B21,B20,B17,B15,B16,1,1)</f>
        <v>115.89146211718756</v>
      </c>
      <c r="G33" s="36" t="s">
        <v>43</v>
      </c>
      <c r="H33" s="69">
        <f>+G31/F31</f>
        <v>4.8721606788336524</v>
      </c>
      <c r="I33" s="46" t="s">
        <v>82</v>
      </c>
    </row>
    <row r="34" spans="1:9" ht="17.25" customHeight="1" x14ac:dyDescent="0.25">
      <c r="A34" s="11"/>
      <c r="B34" s="11"/>
      <c r="C34" s="11"/>
      <c r="D34" s="11"/>
      <c r="E34" s="89" t="s">
        <v>44</v>
      </c>
      <c r="F34" s="91"/>
      <c r="G34" s="41" t="s">
        <v>43</v>
      </c>
      <c r="H34" s="70">
        <f>+DURATION(B21,B20,B17,B15,1,1)</f>
        <v>4.8719885102581619</v>
      </c>
      <c r="I34" s="48" t="s">
        <v>82</v>
      </c>
    </row>
    <row r="35" spans="1:9" ht="17.25" customHeight="1" x14ac:dyDescent="0.25">
      <c r="A35" s="11"/>
      <c r="B35" s="11"/>
      <c r="C35" s="11"/>
      <c r="D35" s="11"/>
      <c r="E35" s="38" t="s">
        <v>45</v>
      </c>
      <c r="F35" s="81">
        <v>43703</v>
      </c>
      <c r="G35" s="41" t="s">
        <v>46</v>
      </c>
      <c r="H35" s="47">
        <f>+H33/(1+B15)</f>
        <v>4.6645865761930612</v>
      </c>
      <c r="I35" s="49"/>
    </row>
    <row r="36" spans="1:9" ht="17.25" customHeight="1" x14ac:dyDescent="0.25">
      <c r="A36" s="11"/>
      <c r="B36" s="11"/>
      <c r="C36" s="11"/>
      <c r="D36" s="11"/>
      <c r="E36" s="38" t="s">
        <v>33</v>
      </c>
      <c r="F36" s="81">
        <f>+B21</f>
        <v>44046</v>
      </c>
      <c r="G36" s="41" t="s">
        <v>46</v>
      </c>
      <c r="H36" s="47">
        <f>+H34/(1+B15)</f>
        <v>4.6644217427076704</v>
      </c>
      <c r="I36" s="49"/>
    </row>
    <row r="37" spans="1:9" ht="17.25" customHeight="1" x14ac:dyDescent="0.25">
      <c r="A37" s="11"/>
      <c r="B37" s="11"/>
      <c r="C37" s="11"/>
      <c r="D37" s="11"/>
      <c r="E37" s="38" t="s">
        <v>48</v>
      </c>
      <c r="F37" s="47">
        <v>365</v>
      </c>
      <c r="G37" s="41" t="s">
        <v>46</v>
      </c>
      <c r="H37" s="47">
        <f>+MDURATION(B21,B20,B17,B15,1,1)</f>
        <v>4.6644217427076704</v>
      </c>
      <c r="I37" s="49"/>
    </row>
    <row r="38" spans="1:9" ht="17.25" customHeight="1" x14ac:dyDescent="0.25">
      <c r="A38" s="11"/>
      <c r="B38" s="11"/>
      <c r="C38" s="11"/>
      <c r="D38" s="11"/>
      <c r="E38" s="38" t="s">
        <v>49</v>
      </c>
      <c r="F38" s="47">
        <f>+F36-F35-1</f>
        <v>342</v>
      </c>
      <c r="G38" s="43" t="s">
        <v>47</v>
      </c>
      <c r="H38" s="50">
        <f>1/(F31*(1+B15)^2)*H31</f>
        <v>29.757948068070768</v>
      </c>
      <c r="I38" s="51"/>
    </row>
    <row r="39" spans="1:9" ht="17.25" customHeight="1" x14ac:dyDescent="0.25">
      <c r="A39" s="11"/>
      <c r="B39" s="11"/>
      <c r="C39" s="11"/>
      <c r="D39" s="11"/>
      <c r="E39" s="41" t="s">
        <v>44</v>
      </c>
      <c r="F39" s="42">
        <f>+B18*F38/F37</f>
        <v>7.0273972602739727</v>
      </c>
    </row>
    <row r="40" spans="1:9" ht="17.25" customHeight="1" x14ac:dyDescent="0.25">
      <c r="A40" s="11"/>
      <c r="B40" s="11"/>
      <c r="C40" s="11"/>
      <c r="D40" s="11"/>
      <c r="E40" s="43" t="s">
        <v>25</v>
      </c>
      <c r="F40" s="44">
        <f>+F39+F33</f>
        <v>122.91885937746153</v>
      </c>
    </row>
    <row r="41" spans="1:9" x14ac:dyDescent="0.25">
      <c r="F41" s="26"/>
    </row>
    <row r="42" spans="1:9" x14ac:dyDescent="0.25">
      <c r="F42" s="26"/>
      <c r="G42" s="87" t="s">
        <v>84</v>
      </c>
      <c r="H42" s="88"/>
    </row>
    <row r="43" spans="1:9" x14ac:dyDescent="0.25">
      <c r="G43" s="52" t="s">
        <v>40</v>
      </c>
      <c r="H43" s="56">
        <v>1E-3</v>
      </c>
    </row>
    <row r="44" spans="1:9" x14ac:dyDescent="0.25">
      <c r="G44" s="53"/>
      <c r="H44" s="42" t="s">
        <v>41</v>
      </c>
    </row>
    <row r="45" spans="1:9" x14ac:dyDescent="0.25">
      <c r="G45" s="54" t="s">
        <v>85</v>
      </c>
      <c r="H45" s="57">
        <f>-H33*H43/(1+B15)</f>
        <v>-4.6645865761930621E-3</v>
      </c>
    </row>
    <row r="46" spans="1:9" x14ac:dyDescent="0.25">
      <c r="G46" s="54" t="s">
        <v>85</v>
      </c>
      <c r="H46" s="57">
        <f>-H34*H43/(1+B15)</f>
        <v>-4.6644217427076707E-3</v>
      </c>
    </row>
    <row r="47" spans="1:9" x14ac:dyDescent="0.25">
      <c r="G47" s="54" t="s">
        <v>86</v>
      </c>
      <c r="H47" s="57">
        <f>-H35*H43</f>
        <v>-4.6645865761930612E-3</v>
      </c>
    </row>
    <row r="48" spans="1:9" x14ac:dyDescent="0.25">
      <c r="G48" s="54" t="s">
        <v>86</v>
      </c>
      <c r="H48" s="57">
        <f>-H36*H43</f>
        <v>-4.6644217427076707E-3</v>
      </c>
    </row>
    <row r="49" spans="4:9" x14ac:dyDescent="0.25">
      <c r="G49" s="54" t="s">
        <v>87</v>
      </c>
      <c r="H49" s="57">
        <f>-H35*H43+0.5*H38*H43^2</f>
        <v>-4.6497076021590261E-3</v>
      </c>
    </row>
    <row r="50" spans="4:9" x14ac:dyDescent="0.25">
      <c r="G50" s="55" t="s">
        <v>87</v>
      </c>
      <c r="H50" s="58">
        <f>-H36*H43+1/2*H38*H43^2</f>
        <v>-4.6495427686736356E-3</v>
      </c>
    </row>
    <row r="54" spans="4:9" x14ac:dyDescent="0.25">
      <c r="D54" s="42"/>
    </row>
    <row r="55" spans="4:9" x14ac:dyDescent="0.25">
      <c r="G55" s="60"/>
      <c r="H55" s="61" t="s">
        <v>50</v>
      </c>
      <c r="I55" s="37" t="s">
        <v>51</v>
      </c>
    </row>
    <row r="56" spans="4:9" x14ac:dyDescent="0.25">
      <c r="G56" s="53"/>
      <c r="H56" s="72">
        <v>4.4499999999999998E-2</v>
      </c>
      <c r="I56" s="73">
        <f>+H56+H43</f>
        <v>4.5499999999999999E-2</v>
      </c>
    </row>
    <row r="57" spans="4:9" x14ac:dyDescent="0.25">
      <c r="G57" s="63" t="s">
        <v>25</v>
      </c>
      <c r="H57" s="64">
        <v>122.91922924470133</v>
      </c>
      <c r="I57" s="65">
        <v>122.34768621158611</v>
      </c>
    </row>
    <row r="58" spans="4:9" x14ac:dyDescent="0.25">
      <c r="G58" s="66" t="s">
        <v>52</v>
      </c>
      <c r="H58" s="67">
        <f>+I57/H57-1</f>
        <v>-4.6497446870369386E-3</v>
      </c>
      <c r="I58" s="51"/>
    </row>
    <row r="59" spans="4:9" x14ac:dyDescent="0.25">
      <c r="H59" s="75"/>
    </row>
    <row r="60" spans="4:9" x14ac:dyDescent="0.25">
      <c r="H60" s="75"/>
    </row>
    <row r="61" spans="4:9" x14ac:dyDescent="0.25">
      <c r="H61" s="75"/>
    </row>
    <row r="62" spans="4:9" x14ac:dyDescent="0.25">
      <c r="H62" s="75"/>
    </row>
    <row r="63" spans="4:9" x14ac:dyDescent="0.25">
      <c r="H63" s="75"/>
    </row>
    <row r="64" spans="4:9" x14ac:dyDescent="0.25">
      <c r="H64" s="75"/>
    </row>
    <row r="65" spans="8:8" x14ac:dyDescent="0.25">
      <c r="H65" s="74"/>
    </row>
  </sheetData>
  <mergeCells count="2">
    <mergeCell ref="E34:F34"/>
    <mergeCell ref="G42:H4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BB905-53A1-429B-94DF-E59BDBFFB147}">
  <dimension ref="A1:M65"/>
  <sheetViews>
    <sheetView showGridLines="0" zoomScale="175" zoomScaleNormal="175" workbookViewId="0">
      <selection activeCell="B12" sqref="B12"/>
    </sheetView>
  </sheetViews>
  <sheetFormatPr baseColWidth="10" defaultRowHeight="15" x14ac:dyDescent="0.25"/>
  <cols>
    <col min="1" max="1" width="16.7109375" customWidth="1"/>
    <col min="2" max="4" width="17" customWidth="1"/>
    <col min="5" max="5" width="18.42578125" bestFit="1" customWidth="1"/>
    <col min="6" max="6" width="18" customWidth="1"/>
    <col min="7" max="7" width="16.140625" customWidth="1"/>
    <col min="8" max="8" width="17.85546875" bestFit="1" customWidth="1"/>
    <col min="9" max="9" width="12.85546875" customWidth="1"/>
  </cols>
  <sheetData>
    <row r="1" spans="1:13" ht="15.75" thickBot="1" x14ac:dyDescent="0.3">
      <c r="A1" s="85" t="s">
        <v>79</v>
      </c>
      <c r="B1" s="86"/>
      <c r="C1" s="86"/>
      <c r="D1" s="86"/>
      <c r="E1" s="86"/>
      <c r="F1" s="86"/>
    </row>
    <row r="2" spans="1:13" ht="15.75" thickBot="1" x14ac:dyDescent="0.3">
      <c r="A2" s="1" t="s">
        <v>56</v>
      </c>
      <c r="B2" s="2" t="s">
        <v>57</v>
      </c>
      <c r="C2" s="2" t="s">
        <v>58</v>
      </c>
      <c r="D2" s="2" t="s">
        <v>0</v>
      </c>
      <c r="E2" s="2" t="s">
        <v>1</v>
      </c>
      <c r="F2" s="2" t="s">
        <v>59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  <c r="L2" s="2" t="s">
        <v>65</v>
      </c>
      <c r="M2" s="2" t="s">
        <v>66</v>
      </c>
    </row>
    <row r="3" spans="1:13" ht="15.75" thickBot="1" x14ac:dyDescent="0.3">
      <c r="A3" s="29">
        <v>0.42237268518518517</v>
      </c>
      <c r="B3" s="30">
        <v>111.76600000000001</v>
      </c>
      <c r="C3" s="30" t="s">
        <v>80</v>
      </c>
      <c r="D3" s="31">
        <v>500000000</v>
      </c>
      <c r="E3" s="31">
        <v>558832000</v>
      </c>
      <c r="F3" s="30" t="s">
        <v>73</v>
      </c>
      <c r="G3" s="30" t="s">
        <v>67</v>
      </c>
      <c r="H3" s="30" t="s">
        <v>23</v>
      </c>
      <c r="I3" s="30" t="s">
        <v>15</v>
      </c>
      <c r="J3" s="32">
        <v>43391</v>
      </c>
      <c r="K3" s="32">
        <v>49235</v>
      </c>
      <c r="L3" s="30" t="s">
        <v>77</v>
      </c>
      <c r="M3" s="30" t="s">
        <v>69</v>
      </c>
    </row>
    <row r="4" spans="1:13" ht="15.75" thickBot="1" x14ac:dyDescent="0.3"/>
    <row r="5" spans="1:13" ht="24.75" thickBot="1" x14ac:dyDescent="0.3">
      <c r="A5" s="3" t="s">
        <v>4</v>
      </c>
      <c r="B5" s="4" t="s">
        <v>2</v>
      </c>
      <c r="C5" s="3" t="s">
        <v>5</v>
      </c>
      <c r="D5" s="5" t="s">
        <v>6</v>
      </c>
    </row>
    <row r="6" spans="1:13" ht="15.75" thickBot="1" x14ac:dyDescent="0.3">
      <c r="A6" s="3" t="s">
        <v>7</v>
      </c>
      <c r="B6" s="5" t="s">
        <v>8</v>
      </c>
      <c r="C6" s="3" t="s">
        <v>9</v>
      </c>
      <c r="D6" s="5" t="s">
        <v>10</v>
      </c>
    </row>
    <row r="7" spans="1:13" ht="15.75" thickBot="1" x14ac:dyDescent="0.3">
      <c r="A7" s="3" t="s">
        <v>11</v>
      </c>
      <c r="B7" s="5" t="s">
        <v>3</v>
      </c>
      <c r="C7" s="3" t="s">
        <v>12</v>
      </c>
      <c r="D7" s="6">
        <v>43391</v>
      </c>
    </row>
    <row r="8" spans="1:13" ht="15.75" thickBot="1" x14ac:dyDescent="0.3">
      <c r="A8" s="3" t="s">
        <v>13</v>
      </c>
      <c r="B8" s="6">
        <v>49235</v>
      </c>
      <c r="C8" s="3" t="s">
        <v>14</v>
      </c>
      <c r="D8" s="5" t="s">
        <v>15</v>
      </c>
    </row>
    <row r="9" spans="1:13" ht="15.75" thickBot="1" x14ac:dyDescent="0.3">
      <c r="A9" s="3" t="s">
        <v>16</v>
      </c>
      <c r="B9" s="5" t="s">
        <v>17</v>
      </c>
      <c r="C9" s="3" t="s">
        <v>18</v>
      </c>
      <c r="D9" s="5" t="s">
        <v>19</v>
      </c>
    </row>
    <row r="10" spans="1:13" ht="24.75" thickBot="1" x14ac:dyDescent="0.3">
      <c r="A10" s="3" t="s">
        <v>20</v>
      </c>
      <c r="B10" s="5" t="s">
        <v>21</v>
      </c>
      <c r="C10" s="3" t="s">
        <v>22</v>
      </c>
      <c r="D10" s="5" t="s">
        <v>23</v>
      </c>
    </row>
    <row r="12" spans="1:13" ht="18.75" customHeight="1" x14ac:dyDescent="0.25">
      <c r="A12" s="9" t="s">
        <v>24</v>
      </c>
      <c r="B12" s="10" t="s">
        <v>2</v>
      </c>
      <c r="C12" s="11"/>
      <c r="D12" s="11"/>
      <c r="E12" s="11"/>
      <c r="F12" s="11"/>
      <c r="G12" s="11"/>
      <c r="H12" s="11"/>
      <c r="I12" s="11"/>
    </row>
    <row r="13" spans="1:13" ht="18.75" customHeight="1" x14ac:dyDescent="0.25">
      <c r="A13" s="11" t="s">
        <v>25</v>
      </c>
      <c r="B13" s="20">
        <v>111.76600000000001</v>
      </c>
      <c r="C13" s="11"/>
      <c r="D13" s="11"/>
      <c r="E13" s="11"/>
      <c r="F13" s="11"/>
      <c r="G13" s="11"/>
      <c r="H13" s="11"/>
      <c r="I13" s="11"/>
    </row>
    <row r="14" spans="1:13" ht="18.75" customHeight="1" x14ac:dyDescent="0.25">
      <c r="A14" s="11" t="s">
        <v>26</v>
      </c>
      <c r="B14" s="12">
        <v>6.5799999999999997E-2</v>
      </c>
      <c r="C14" s="11"/>
      <c r="D14" s="11"/>
      <c r="E14" s="11"/>
      <c r="F14" s="11"/>
      <c r="G14" s="11"/>
      <c r="H14" s="11"/>
      <c r="I14" s="11"/>
    </row>
    <row r="15" spans="1:13" ht="18.75" customHeight="1" x14ac:dyDescent="0.25">
      <c r="A15" s="11" t="s">
        <v>27</v>
      </c>
      <c r="B15" s="21">
        <v>100</v>
      </c>
      <c r="C15" s="11"/>
      <c r="D15" s="11"/>
      <c r="E15" s="11"/>
      <c r="F15" s="11"/>
      <c r="G15" s="11"/>
      <c r="H15" s="11"/>
      <c r="I15" s="11"/>
    </row>
    <row r="16" spans="1:13" ht="18.75" customHeight="1" x14ac:dyDescent="0.25">
      <c r="A16" s="11" t="s">
        <v>28</v>
      </c>
      <c r="B16" s="22">
        <v>7.2499999999999995E-2</v>
      </c>
      <c r="C16" s="11"/>
      <c r="D16" s="11"/>
      <c r="E16" s="11"/>
      <c r="F16" s="11"/>
      <c r="G16" s="11"/>
      <c r="H16" s="11"/>
      <c r="I16" s="11"/>
    </row>
    <row r="17" spans="1:9" ht="18.75" customHeight="1" x14ac:dyDescent="0.25">
      <c r="A17" s="11" t="s">
        <v>29</v>
      </c>
      <c r="B17" s="21">
        <f>+B16*B15</f>
        <v>7.2499999999999991</v>
      </c>
      <c r="C17" s="11"/>
      <c r="D17" s="11"/>
      <c r="E17" s="11"/>
      <c r="F17" s="11"/>
      <c r="G17" s="11"/>
      <c r="H17" s="11"/>
      <c r="I17" s="11"/>
    </row>
    <row r="18" spans="1:9" ht="18.75" customHeight="1" x14ac:dyDescent="0.25">
      <c r="A18" s="11" t="s">
        <v>30</v>
      </c>
      <c r="B18" s="21" t="s">
        <v>31</v>
      </c>
      <c r="C18" s="11"/>
      <c r="D18" s="24"/>
      <c r="E18" s="11"/>
      <c r="F18" s="11"/>
      <c r="G18" s="11"/>
      <c r="H18" s="11"/>
      <c r="I18" s="11"/>
    </row>
    <row r="19" spans="1:9" ht="18.75" customHeight="1" x14ac:dyDescent="0.25">
      <c r="A19" s="11" t="s">
        <v>32</v>
      </c>
      <c r="B19" s="23">
        <v>49235</v>
      </c>
      <c r="C19" s="11"/>
      <c r="D19" s="11"/>
      <c r="E19" s="11"/>
      <c r="F19" s="11"/>
      <c r="G19" s="11"/>
      <c r="H19" s="11"/>
      <c r="I19" s="11"/>
    </row>
    <row r="20" spans="1:9" ht="18.75" customHeight="1" x14ac:dyDescent="0.25">
      <c r="A20" s="11" t="s">
        <v>33</v>
      </c>
      <c r="B20" s="23">
        <v>44046</v>
      </c>
      <c r="C20" s="11"/>
      <c r="D20" s="11"/>
      <c r="E20" s="11"/>
      <c r="F20" s="11"/>
      <c r="G20" s="11"/>
      <c r="H20" s="11"/>
      <c r="I20" s="11"/>
    </row>
    <row r="21" spans="1:9" ht="18.7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8.75" customHeight="1" x14ac:dyDescent="0.25">
      <c r="A22" s="11"/>
      <c r="B22" s="10" t="s">
        <v>34</v>
      </c>
      <c r="C22" s="10" t="s">
        <v>35</v>
      </c>
      <c r="D22" s="10" t="s">
        <v>36</v>
      </c>
      <c r="E22" s="10" t="s">
        <v>37</v>
      </c>
      <c r="F22" s="10" t="s">
        <v>38</v>
      </c>
      <c r="G22" s="10" t="s">
        <v>81</v>
      </c>
      <c r="H22" s="10" t="s">
        <v>83</v>
      </c>
      <c r="I22" s="11"/>
    </row>
    <row r="23" spans="1:9" ht="18.75" customHeight="1" x14ac:dyDescent="0.25">
      <c r="A23" s="11" t="s">
        <v>39</v>
      </c>
      <c r="B23" s="18">
        <v>44122</v>
      </c>
      <c r="C23" s="14">
        <f>+B23-$B$20</f>
        <v>76</v>
      </c>
      <c r="D23" s="14">
        <f>+C23/365</f>
        <v>0.20821917808219179</v>
      </c>
      <c r="E23" s="14">
        <f>+$B$17</f>
        <v>7.2499999999999991</v>
      </c>
      <c r="F23" s="15">
        <f>+E23/(1+$B$14)^D23</f>
        <v>7.154435813863337</v>
      </c>
      <c r="G23" s="14">
        <f>+D23*F23</f>
        <v>1.489690744804421</v>
      </c>
      <c r="H23" s="14">
        <f>+F23*(D23^2+D23)</f>
        <v>1.7998729272842453</v>
      </c>
      <c r="I23" s="11"/>
    </row>
    <row r="24" spans="1:9" ht="18.75" customHeight="1" x14ac:dyDescent="0.25">
      <c r="A24" s="11"/>
      <c r="B24" s="18">
        <v>44487</v>
      </c>
      <c r="C24" s="14">
        <f>+B24-$B$20</f>
        <v>441</v>
      </c>
      <c r="D24" s="14">
        <f t="shared" ref="D24:D37" si="0">+C24/365</f>
        <v>1.2082191780821918</v>
      </c>
      <c r="E24" s="14">
        <f t="shared" ref="E24:E36" si="1">+$B$17</f>
        <v>7.2499999999999991</v>
      </c>
      <c r="F24" s="15">
        <f t="shared" ref="F24:F37" si="2">+E24/(1+$B$14)^D24</f>
        <v>6.7127376748577001</v>
      </c>
      <c r="G24" s="14">
        <f t="shared" ref="G24:G37" si="3">+D24*F24</f>
        <v>8.1104583961979344</v>
      </c>
      <c r="H24" s="14">
        <f t="shared" ref="H24:H37" si="4">+F24*(D24^2+D24)</f>
        <v>17.909669773522012</v>
      </c>
      <c r="I24" s="11"/>
    </row>
    <row r="25" spans="1:9" ht="18.75" customHeight="1" x14ac:dyDescent="0.25">
      <c r="A25" s="11"/>
      <c r="B25" s="18">
        <v>44852</v>
      </c>
      <c r="C25" s="14">
        <f t="shared" ref="C25:C26" si="5">+B25-$B$20</f>
        <v>806</v>
      </c>
      <c r="D25" s="14">
        <f t="shared" si="0"/>
        <v>2.2082191780821918</v>
      </c>
      <c r="E25" s="14">
        <f t="shared" si="1"/>
        <v>7.2499999999999991</v>
      </c>
      <c r="F25" s="15">
        <f t="shared" si="2"/>
        <v>6.2983089461978796</v>
      </c>
      <c r="G25" s="14">
        <f t="shared" si="3"/>
        <v>13.908046604480797</v>
      </c>
      <c r="H25" s="14">
        <f t="shared" si="4"/>
        <v>44.620061846156204</v>
      </c>
      <c r="I25" s="11"/>
    </row>
    <row r="26" spans="1:9" ht="18.75" customHeight="1" x14ac:dyDescent="0.25">
      <c r="A26" s="11"/>
      <c r="B26" s="18">
        <v>45217</v>
      </c>
      <c r="C26" s="14">
        <f t="shared" si="5"/>
        <v>1171</v>
      </c>
      <c r="D26" s="14">
        <f t="shared" si="0"/>
        <v>3.2082191780821918</v>
      </c>
      <c r="E26" s="14">
        <f t="shared" si="1"/>
        <v>7.2499999999999991</v>
      </c>
      <c r="F26" s="15">
        <f t="shared" si="2"/>
        <v>5.9094660782490891</v>
      </c>
      <c r="G26" s="14">
        <f t="shared" si="3"/>
        <v>18.958862404464885</v>
      </c>
      <c r="H26" s="14">
        <f t="shared" si="4"/>
        <v>79.783048365090593</v>
      </c>
      <c r="I26" s="11"/>
    </row>
    <row r="27" spans="1:9" ht="18.75" customHeight="1" x14ac:dyDescent="0.25">
      <c r="A27" s="11" t="s">
        <v>88</v>
      </c>
      <c r="B27" s="78">
        <v>45583</v>
      </c>
      <c r="C27" s="79">
        <f>+B27-$B$20-1</f>
        <v>1536</v>
      </c>
      <c r="D27" s="14">
        <f t="shared" si="0"/>
        <v>4.2082191780821914</v>
      </c>
      <c r="E27" s="14">
        <f t="shared" si="1"/>
        <v>7.2499999999999991</v>
      </c>
      <c r="F27" s="15">
        <f t="shared" si="2"/>
        <v>5.5446294597946038</v>
      </c>
      <c r="G27" s="14">
        <f t="shared" si="3"/>
        <v>23.333016028067153</v>
      </c>
      <c r="H27" s="14">
        <f t="shared" si="4"/>
        <v>121.52346155987851</v>
      </c>
      <c r="I27" s="11"/>
    </row>
    <row r="28" spans="1:9" ht="18.75" customHeight="1" x14ac:dyDescent="0.25">
      <c r="A28" s="11"/>
      <c r="B28" s="18">
        <v>45948</v>
      </c>
      <c r="C28" s="14">
        <f>+B28-$B$20-1</f>
        <v>1901</v>
      </c>
      <c r="D28" s="14">
        <f t="shared" si="0"/>
        <v>5.2082191780821914</v>
      </c>
      <c r="E28" s="14">
        <f t="shared" si="1"/>
        <v>7.2499999999999991</v>
      </c>
      <c r="F28" s="15">
        <f t="shared" si="2"/>
        <v>5.2023170011208508</v>
      </c>
      <c r="G28" s="14">
        <f t="shared" si="3"/>
        <v>27.094807175700648</v>
      </c>
      <c r="H28" s="14">
        <f t="shared" si="4"/>
        <v>168.21050153462372</v>
      </c>
      <c r="I28" s="11"/>
    </row>
    <row r="29" spans="1:9" ht="18.75" customHeight="1" x14ac:dyDescent="0.25">
      <c r="A29" s="11"/>
      <c r="B29" s="18">
        <v>46313</v>
      </c>
      <c r="C29" s="14">
        <f>+B29-$B$20-1</f>
        <v>2266</v>
      </c>
      <c r="D29" s="14">
        <f t="shared" si="0"/>
        <v>6.2082191780821914</v>
      </c>
      <c r="E29" s="14">
        <f t="shared" si="1"/>
        <v>7.2499999999999991</v>
      </c>
      <c r="F29" s="15">
        <f t="shared" si="2"/>
        <v>4.881138113267828</v>
      </c>
      <c r="G29" s="14">
        <f t="shared" si="3"/>
        <v>30.303175245657254</v>
      </c>
      <c r="H29" s="14">
        <f t="shared" si="4"/>
        <v>218.43192896253214</v>
      </c>
      <c r="I29" s="11"/>
    </row>
    <row r="30" spans="1:9" ht="18.75" customHeight="1" x14ac:dyDescent="0.25">
      <c r="A30" s="11"/>
      <c r="B30" s="18">
        <v>46678</v>
      </c>
      <c r="C30" s="14">
        <f>+B30-$B$20-1</f>
        <v>2631</v>
      </c>
      <c r="D30" s="14">
        <f t="shared" si="0"/>
        <v>7.2082191780821914</v>
      </c>
      <c r="E30" s="14">
        <f t="shared" si="1"/>
        <v>7.2499999999999991</v>
      </c>
      <c r="F30" s="15">
        <f t="shared" si="2"/>
        <v>4.579788058986515</v>
      </c>
      <c r="G30" s="14">
        <f t="shared" si="3"/>
        <v>33.012116118338412</v>
      </c>
      <c r="H30" s="14">
        <f t="shared" si="4"/>
        <v>270.97068463162157</v>
      </c>
      <c r="I30" s="11"/>
    </row>
    <row r="31" spans="1:9" ht="18.75" customHeight="1" x14ac:dyDescent="0.25">
      <c r="A31" s="11" t="s">
        <v>88</v>
      </c>
      <c r="B31" s="78">
        <v>47044</v>
      </c>
      <c r="C31" s="79">
        <f>+B31-$B$20-2</f>
        <v>2996</v>
      </c>
      <c r="D31" s="14">
        <f t="shared" si="0"/>
        <v>8.2082191780821923</v>
      </c>
      <c r="E31" s="14">
        <f t="shared" si="1"/>
        <v>7.2499999999999991</v>
      </c>
      <c r="F31" s="15">
        <f t="shared" si="2"/>
        <v>4.2970426524549765</v>
      </c>
      <c r="G31" s="14">
        <f t="shared" si="3"/>
        <v>35.271067908918113</v>
      </c>
      <c r="H31" s="14">
        <f t="shared" si="4"/>
        <v>324.78372395033909</v>
      </c>
      <c r="I31" s="11"/>
    </row>
    <row r="32" spans="1:9" ht="18.75" customHeight="1" x14ac:dyDescent="0.25">
      <c r="A32" s="11"/>
      <c r="B32" s="18">
        <v>47409</v>
      </c>
      <c r="C32" s="14">
        <f>+B32-$B$20-2</f>
        <v>3361</v>
      </c>
      <c r="D32" s="14">
        <f t="shared" si="0"/>
        <v>9.2082191780821923</v>
      </c>
      <c r="E32" s="14">
        <f t="shared" si="1"/>
        <v>7.2499999999999991</v>
      </c>
      <c r="F32" s="15">
        <f t="shared" si="2"/>
        <v>4.031753286221595</v>
      </c>
      <c r="G32" s="14">
        <f t="shared" si="3"/>
        <v>37.125267931481595</v>
      </c>
      <c r="H32" s="14">
        <f t="shared" si="4"/>
        <v>378.98287208959022</v>
      </c>
      <c r="I32" s="11"/>
    </row>
    <row r="33" spans="1:9" ht="18.75" customHeight="1" x14ac:dyDescent="0.25">
      <c r="A33" s="11"/>
      <c r="B33" s="18">
        <v>47774</v>
      </c>
      <c r="C33" s="14">
        <f t="shared" ref="C33:C34" si="6">+B33-$B$20-2</f>
        <v>3726</v>
      </c>
      <c r="D33" s="14">
        <f t="shared" si="0"/>
        <v>10.208219178082192</v>
      </c>
      <c r="E33" s="14">
        <f t="shared" si="1"/>
        <v>7.2499999999999991</v>
      </c>
      <c r="F33" s="15">
        <f t="shared" si="2"/>
        <v>3.7828422651731985</v>
      </c>
      <c r="G33" s="14">
        <f t="shared" si="3"/>
        <v>38.616082959000927</v>
      </c>
      <c r="H33" s="14">
        <f t="shared" si="4"/>
        <v>432.81752160348708</v>
      </c>
      <c r="I33" s="11"/>
    </row>
    <row r="34" spans="1:9" ht="18.75" customHeight="1" x14ac:dyDescent="0.25">
      <c r="A34" s="11"/>
      <c r="B34" s="18">
        <v>48139</v>
      </c>
      <c r="C34" s="14">
        <f t="shared" si="6"/>
        <v>4091</v>
      </c>
      <c r="D34" s="14">
        <f t="shared" si="0"/>
        <v>11.208219178082192</v>
      </c>
      <c r="E34" s="14">
        <f t="shared" si="1"/>
        <v>7.2499999999999991</v>
      </c>
      <c r="F34" s="15">
        <f t="shared" si="2"/>
        <v>3.5492984285730889</v>
      </c>
      <c r="G34" s="14">
        <f t="shared" si="3"/>
        <v>39.781314715869883</v>
      </c>
      <c r="H34" s="14">
        <f t="shared" si="4"/>
        <v>485.65900924360602</v>
      </c>
      <c r="I34" s="11"/>
    </row>
    <row r="35" spans="1:9" ht="18.75" customHeight="1" x14ac:dyDescent="0.25">
      <c r="A35" s="11" t="s">
        <v>88</v>
      </c>
      <c r="B35" s="78">
        <v>48505</v>
      </c>
      <c r="C35" s="79">
        <f>+B35-$B$20-3</f>
        <v>4456</v>
      </c>
      <c r="D35" s="14">
        <f t="shared" si="0"/>
        <v>12.208219178082192</v>
      </c>
      <c r="E35" s="14">
        <f t="shared" si="1"/>
        <v>7.2499999999999991</v>
      </c>
      <c r="F35" s="15">
        <f t="shared" si="2"/>
        <v>3.330173042384208</v>
      </c>
      <c r="G35" s="14">
        <f t="shared" si="3"/>
        <v>40.655482402367213</v>
      </c>
      <c r="H35" s="14">
        <f t="shared" si="4"/>
        <v>536.98652236112969</v>
      </c>
      <c r="I35" s="11"/>
    </row>
    <row r="36" spans="1:9" ht="18.75" customHeight="1" x14ac:dyDescent="0.25">
      <c r="A36" s="11"/>
      <c r="B36" s="18">
        <v>48870</v>
      </c>
      <c r="C36" s="14">
        <f>+B36-$B$20-3</f>
        <v>4821</v>
      </c>
      <c r="D36" s="14">
        <f t="shared" si="0"/>
        <v>13.208219178082192</v>
      </c>
      <c r="E36" s="14">
        <f t="shared" si="1"/>
        <v>7.2499999999999991</v>
      </c>
      <c r="F36" s="15">
        <f t="shared" si="2"/>
        <v>3.1245759451906623</v>
      </c>
      <c r="G36" s="14">
        <f t="shared" si="3"/>
        <v>41.270083922641597</v>
      </c>
      <c r="H36" s="14">
        <f t="shared" si="4"/>
        <v>586.37439787073799</v>
      </c>
      <c r="I36" s="11"/>
    </row>
    <row r="37" spans="1:9" ht="18.75" customHeight="1" x14ac:dyDescent="0.25">
      <c r="A37" s="11" t="s">
        <v>32</v>
      </c>
      <c r="B37" s="18">
        <v>49235</v>
      </c>
      <c r="C37" s="14">
        <f>+B37-$B$20-3</f>
        <v>5186</v>
      </c>
      <c r="D37" s="14">
        <f t="shared" si="0"/>
        <v>14.208219178082192</v>
      </c>
      <c r="E37" s="14">
        <f>+$B$17+B15</f>
        <v>107.25</v>
      </c>
      <c r="F37" s="15">
        <f t="shared" si="2"/>
        <v>43.368526167385802</v>
      </c>
      <c r="G37" s="14">
        <f t="shared" si="3"/>
        <v>616.18952521661038</v>
      </c>
      <c r="H37" s="14">
        <f t="shared" si="4"/>
        <v>9371.1453547326146</v>
      </c>
      <c r="I37" s="11"/>
    </row>
    <row r="38" spans="1:9" ht="18.75" customHeight="1" x14ac:dyDescent="0.25">
      <c r="A38" s="11"/>
      <c r="B38" s="14"/>
      <c r="C38" s="14"/>
      <c r="D38" s="14"/>
      <c r="E38" s="10" t="s">
        <v>25</v>
      </c>
      <c r="F38" s="16">
        <f>SUM(F23:F37)</f>
        <v>111.76703293372134</v>
      </c>
      <c r="G38" s="16">
        <f>SUM(G23:G37)</f>
        <v>1005.1189977746012</v>
      </c>
      <c r="H38" s="16">
        <f>SUM(H23:H37)</f>
        <v>13039.998631452214</v>
      </c>
      <c r="I38" s="17"/>
    </row>
    <row r="39" spans="1:9" ht="18.75" customHeight="1" x14ac:dyDescent="0.25">
      <c r="A39" s="11"/>
      <c r="B39" s="11"/>
      <c r="C39" s="11"/>
      <c r="D39" s="11"/>
      <c r="E39" s="11"/>
      <c r="F39" s="11"/>
      <c r="G39" s="11"/>
      <c r="H39" s="10"/>
      <c r="I39" s="11"/>
    </row>
    <row r="40" spans="1:9" ht="18.75" customHeight="1" x14ac:dyDescent="0.25">
      <c r="A40" s="11"/>
      <c r="B40" s="11"/>
      <c r="C40" s="11"/>
      <c r="D40" s="11"/>
      <c r="E40" s="36" t="s">
        <v>42</v>
      </c>
      <c r="F40" s="80">
        <f>+PRICE(B20,B19,B16,B14,B15,1,1)</f>
        <v>106.02654947386698</v>
      </c>
      <c r="G40" s="36" t="s">
        <v>43</v>
      </c>
      <c r="H40" s="45">
        <f>+G38/F38</f>
        <v>8.9929827373215154</v>
      </c>
      <c r="I40" s="46" t="s">
        <v>82</v>
      </c>
    </row>
    <row r="41" spans="1:9" ht="18.75" customHeight="1" x14ac:dyDescent="0.25">
      <c r="A41" s="11"/>
      <c r="B41" s="11"/>
      <c r="C41" s="11"/>
      <c r="D41" s="11"/>
      <c r="E41" s="89" t="s">
        <v>44</v>
      </c>
      <c r="F41" s="91"/>
      <c r="G41" s="41" t="s">
        <v>43</v>
      </c>
      <c r="H41" s="47">
        <f>+DURATION(B20,B19,B16,B14,1,1)</f>
        <v>8.9924138324633685</v>
      </c>
      <c r="I41" s="48" t="s">
        <v>82</v>
      </c>
    </row>
    <row r="42" spans="1:9" ht="19.5" customHeight="1" x14ac:dyDescent="0.25">
      <c r="A42" s="11"/>
      <c r="B42" s="11"/>
      <c r="C42" s="11"/>
      <c r="D42" s="11"/>
      <c r="E42" s="38" t="s">
        <v>45</v>
      </c>
      <c r="F42" s="81">
        <v>43756</v>
      </c>
      <c r="G42" s="41" t="s">
        <v>46</v>
      </c>
      <c r="H42" s="47">
        <f>+H40/(1+B14)</f>
        <v>8.4377770100595928</v>
      </c>
      <c r="I42" s="76"/>
    </row>
    <row r="43" spans="1:9" ht="18.75" customHeight="1" x14ac:dyDescent="0.25">
      <c r="A43" s="11"/>
      <c r="B43" s="11"/>
      <c r="C43" s="11"/>
      <c r="D43" s="11"/>
      <c r="E43" s="38" t="s">
        <v>33</v>
      </c>
      <c r="F43" s="81">
        <f>+B20</f>
        <v>44046</v>
      </c>
      <c r="G43" s="41" t="s">
        <v>46</v>
      </c>
      <c r="H43" s="47">
        <f>+H41/(1+B14)</f>
        <v>8.4372432280572038</v>
      </c>
      <c r="I43" s="76"/>
    </row>
    <row r="44" spans="1:9" ht="18.75" customHeight="1" x14ac:dyDescent="0.25">
      <c r="A44" s="11"/>
      <c r="B44" s="11"/>
      <c r="C44" s="11"/>
      <c r="D44" s="11"/>
      <c r="E44" s="38" t="s">
        <v>48</v>
      </c>
      <c r="F44" s="47">
        <v>365</v>
      </c>
      <c r="G44" s="41" t="s">
        <v>46</v>
      </c>
      <c r="H44" s="47">
        <f>+MDURATION(B20,B19,B16,B14,1,1)</f>
        <v>8.4372432280572038</v>
      </c>
      <c r="I44" s="76"/>
    </row>
    <row r="45" spans="1:9" ht="18.75" customHeight="1" x14ac:dyDescent="0.25">
      <c r="A45" s="11"/>
      <c r="B45" s="11"/>
      <c r="C45" s="11"/>
      <c r="D45" s="11"/>
      <c r="E45" s="38" t="s">
        <v>49</v>
      </c>
      <c r="F45" s="47">
        <f>+F43-F42-1</f>
        <v>289</v>
      </c>
      <c r="G45" s="43" t="s">
        <v>47</v>
      </c>
      <c r="H45" s="50">
        <f>1/(F38*(1+B14)^2)*H38</f>
        <v>102.70992026876021</v>
      </c>
      <c r="I45" s="77"/>
    </row>
    <row r="46" spans="1:9" ht="18.75" customHeight="1" x14ac:dyDescent="0.25">
      <c r="A46" s="11"/>
      <c r="B46" s="11"/>
      <c r="C46" s="11"/>
      <c r="D46" s="11"/>
      <c r="E46" s="41" t="s">
        <v>44</v>
      </c>
      <c r="F46" s="42">
        <f>+B17*F45/F44</f>
        <v>5.7404109589041079</v>
      </c>
      <c r="G46" s="10"/>
      <c r="H46" s="10"/>
      <c r="I46" s="11"/>
    </row>
    <row r="47" spans="1:9" ht="18.75" customHeight="1" x14ac:dyDescent="0.25">
      <c r="A47" s="11"/>
      <c r="B47" s="11"/>
      <c r="C47" s="11"/>
      <c r="D47" s="11"/>
      <c r="E47" s="43" t="s">
        <v>25</v>
      </c>
      <c r="F47" s="44">
        <f>+F46+F40</f>
        <v>111.76696043277109</v>
      </c>
      <c r="G47" s="12"/>
      <c r="H47" s="12"/>
      <c r="I47" s="11"/>
    </row>
    <row r="48" spans="1:9" ht="18.7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10" ht="18.75" customHeight="1" x14ac:dyDescent="0.25">
      <c r="A49" s="11"/>
      <c r="B49" s="13"/>
      <c r="C49" s="11"/>
      <c r="D49" s="11"/>
      <c r="E49" s="11"/>
      <c r="F49" s="11"/>
      <c r="G49" s="87" t="s">
        <v>84</v>
      </c>
      <c r="H49" s="88"/>
      <c r="I49" s="19"/>
      <c r="J49" s="8"/>
    </row>
    <row r="50" spans="1:10" x14ac:dyDescent="0.25">
      <c r="B50" s="7"/>
      <c r="G50" s="52" t="s">
        <v>40</v>
      </c>
      <c r="H50" s="56">
        <v>1E-3</v>
      </c>
      <c r="I50" s="8"/>
      <c r="J50" s="8"/>
    </row>
    <row r="51" spans="1:10" x14ac:dyDescent="0.25">
      <c r="B51" s="7"/>
      <c r="G51" s="53"/>
      <c r="H51" s="42" t="s">
        <v>41</v>
      </c>
    </row>
    <row r="52" spans="1:10" x14ac:dyDescent="0.25">
      <c r="B52" s="7"/>
      <c r="G52" s="54" t="s">
        <v>85</v>
      </c>
      <c r="H52" s="57">
        <f>-H40*H50/(1+H50)</f>
        <v>-8.9839987385829344E-3</v>
      </c>
    </row>
    <row r="53" spans="1:10" x14ac:dyDescent="0.25">
      <c r="B53" s="7"/>
      <c r="G53" s="54" t="s">
        <v>85</v>
      </c>
      <c r="H53" s="57">
        <f>-H41*H50/(1+H50)</f>
        <v>-8.9834304020613084E-3</v>
      </c>
    </row>
    <row r="54" spans="1:10" x14ac:dyDescent="0.25">
      <c r="B54" s="7"/>
      <c r="G54" s="54" t="s">
        <v>86</v>
      </c>
      <c r="H54" s="57">
        <f>-H42*H50</f>
        <v>-8.4377770100595925E-3</v>
      </c>
    </row>
    <row r="55" spans="1:10" x14ac:dyDescent="0.25">
      <c r="G55" s="54" t="s">
        <v>86</v>
      </c>
      <c r="H55" s="57">
        <f>-H43*H50</f>
        <v>-8.4372432280572039E-3</v>
      </c>
    </row>
    <row r="56" spans="1:10" x14ac:dyDescent="0.25">
      <c r="G56" s="54" t="s">
        <v>87</v>
      </c>
      <c r="H56" s="57">
        <f>-H42*H50+0.5*H45*H50^2</f>
        <v>-8.3864220499252125E-3</v>
      </c>
    </row>
    <row r="57" spans="1:10" x14ac:dyDescent="0.25">
      <c r="G57" s="55" t="s">
        <v>87</v>
      </c>
      <c r="H57" s="58">
        <f>-H42*H50+0.5*H45*H50^2</f>
        <v>-8.3864220499252125E-3</v>
      </c>
    </row>
    <row r="62" spans="1:10" x14ac:dyDescent="0.25">
      <c r="G62" s="60"/>
      <c r="H62" s="61" t="s">
        <v>50</v>
      </c>
      <c r="I62" s="37" t="s">
        <v>51</v>
      </c>
    </row>
    <row r="63" spans="1:10" x14ac:dyDescent="0.25">
      <c r="G63" s="53"/>
      <c r="H63" s="12">
        <v>6.5799999999999997E-2</v>
      </c>
      <c r="I63" s="73">
        <f>+H63+H50</f>
        <v>6.6799999999999998E-2</v>
      </c>
    </row>
    <row r="64" spans="1:10" x14ac:dyDescent="0.25">
      <c r="G64" s="63" t="s">
        <v>25</v>
      </c>
      <c r="H64" s="64">
        <v>111.76703293372134</v>
      </c>
      <c r="I64" s="65">
        <v>110.82968073476056</v>
      </c>
    </row>
    <row r="65" spans="7:9" x14ac:dyDescent="0.25">
      <c r="G65" s="66" t="s">
        <v>52</v>
      </c>
      <c r="H65" s="67">
        <f>+I64/H64-1</f>
        <v>-8.3866608458385006E-3</v>
      </c>
      <c r="I65" s="51"/>
    </row>
  </sheetData>
  <mergeCells count="3">
    <mergeCell ref="A1:F1"/>
    <mergeCell ref="E41:F41"/>
    <mergeCell ref="G49:H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TCO364080621</vt:lpstr>
      <vt:lpstr>TFIT10040522</vt:lpstr>
      <vt:lpstr>TFIT15260826</vt:lpstr>
      <vt:lpstr>TFIT16181034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2020-08-09T01:43:54Z</dcterms:created>
  <dcterms:modified xsi:type="dcterms:W3CDTF">2020-08-15T06:03:17Z</dcterms:modified>
</cp:coreProperties>
</file>