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gue\Dropbox\UNAL\ADMINISTRACIÓN FINANCIERA\EXAMEN LIQUIDEZ, ENDEUDAMIENTO Y RENTABILIDAD\"/>
    </mc:Choice>
  </mc:AlternateContent>
  <xr:revisionPtr revIDLastSave="0" documentId="13_ncr:1_{B80D5EF7-D132-47B0-877F-C17BE7A2444C}" xr6:coauthVersionLast="47" xr6:coauthVersionMax="47" xr10:uidLastSave="{00000000-0000-0000-0000-000000000000}"/>
  <bookViews>
    <workbookView xWindow="-120" yWindow="-120" windowWidth="29040" windowHeight="15840" xr2:uid="{8E5A6A97-DA74-4750-8B00-1AD8DE25EAC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3" i="1" l="1"/>
  <c r="C88" i="1"/>
  <c r="D88" i="1"/>
  <c r="E88" i="1"/>
  <c r="F88" i="1"/>
  <c r="G88" i="1"/>
  <c r="B88" i="1"/>
  <c r="C79" i="1"/>
  <c r="D79" i="1"/>
  <c r="E79" i="1"/>
  <c r="F79" i="1"/>
  <c r="G79" i="1"/>
  <c r="C80" i="1"/>
  <c r="D80" i="1"/>
  <c r="E80" i="1"/>
  <c r="F80" i="1"/>
  <c r="G80" i="1"/>
  <c r="B80" i="1"/>
  <c r="B79" i="1"/>
  <c r="C78" i="1"/>
  <c r="D78" i="1"/>
  <c r="E78" i="1"/>
  <c r="F78" i="1"/>
  <c r="G78" i="1"/>
  <c r="B78" i="1"/>
  <c r="V24" i="1" l="1"/>
  <c r="S24" i="1"/>
  <c r="T24" i="1"/>
  <c r="U24" i="1"/>
  <c r="R24" i="1"/>
  <c r="R22" i="1"/>
  <c r="R21" i="1"/>
  <c r="R18" i="1"/>
  <c r="R19" i="1" s="1"/>
  <c r="S17" i="1"/>
  <c r="S18" i="1" s="1"/>
  <c r="S19" i="1" s="1"/>
  <c r="T17" i="1"/>
  <c r="T18" i="1" s="1"/>
  <c r="T19" i="1" s="1"/>
  <c r="U17" i="1"/>
  <c r="U18" i="1" s="1"/>
  <c r="V17" i="1"/>
  <c r="V18" i="1" s="1"/>
  <c r="V19" i="1" s="1"/>
  <c r="R17" i="1"/>
  <c r="S13" i="1"/>
  <c r="S14" i="1" s="1"/>
  <c r="S15" i="1" s="1"/>
  <c r="T13" i="1"/>
  <c r="T14" i="1" s="1"/>
  <c r="U13" i="1"/>
  <c r="U14" i="1" s="1"/>
  <c r="U15" i="1" s="1"/>
  <c r="V13" i="1"/>
  <c r="V14" i="1" s="1"/>
  <c r="V15" i="1" s="1"/>
  <c r="R13" i="1"/>
  <c r="R14" i="1" s="1"/>
  <c r="R15" i="1" s="1"/>
  <c r="R9" i="1"/>
  <c r="S9" i="1"/>
  <c r="T9" i="1"/>
  <c r="U9" i="1"/>
  <c r="V9" i="1"/>
  <c r="Q9" i="1"/>
  <c r="V22" i="1"/>
  <c r="U22" i="1"/>
  <c r="T22" i="1"/>
  <c r="S22" i="1"/>
  <c r="V21" i="1"/>
  <c r="U21" i="1"/>
  <c r="T21" i="1"/>
  <c r="S21" i="1"/>
  <c r="L74" i="1"/>
  <c r="L69" i="1"/>
  <c r="C74" i="1"/>
  <c r="C75" i="1" s="1"/>
  <c r="D74" i="1"/>
  <c r="D75" i="1" s="1"/>
  <c r="E74" i="1"/>
  <c r="F74" i="1"/>
  <c r="F75" i="1" s="1"/>
  <c r="G74" i="1"/>
  <c r="G75" i="1" s="1"/>
  <c r="B74" i="1"/>
  <c r="C72" i="1"/>
  <c r="D72" i="1"/>
  <c r="J72" i="1" s="1"/>
  <c r="E72" i="1"/>
  <c r="F72" i="1"/>
  <c r="L72" i="1" s="1"/>
  <c r="G72" i="1"/>
  <c r="M72" i="1" s="1"/>
  <c r="B72" i="1"/>
  <c r="C69" i="1"/>
  <c r="D69" i="1"/>
  <c r="E69" i="1"/>
  <c r="F69" i="1"/>
  <c r="G69" i="1"/>
  <c r="C70" i="1"/>
  <c r="D70" i="1"/>
  <c r="E70" i="1"/>
  <c r="F70" i="1"/>
  <c r="G70" i="1"/>
  <c r="H70" i="1" s="1"/>
  <c r="B70" i="1"/>
  <c r="B69" i="1"/>
  <c r="C67" i="1"/>
  <c r="I67" i="1" s="1"/>
  <c r="D67" i="1"/>
  <c r="E67" i="1"/>
  <c r="F67" i="1"/>
  <c r="G67" i="1"/>
  <c r="B67" i="1"/>
  <c r="I41" i="1"/>
  <c r="J41" i="1"/>
  <c r="K41" i="1"/>
  <c r="L41" i="1"/>
  <c r="M41" i="1"/>
  <c r="I43" i="1"/>
  <c r="J43" i="1"/>
  <c r="K43" i="1"/>
  <c r="L43" i="1"/>
  <c r="M43" i="1"/>
  <c r="I44" i="1"/>
  <c r="J44" i="1"/>
  <c r="K44" i="1"/>
  <c r="L44" i="1"/>
  <c r="M44" i="1"/>
  <c r="I45" i="1"/>
  <c r="J45" i="1"/>
  <c r="K45" i="1"/>
  <c r="L45" i="1"/>
  <c r="M45" i="1"/>
  <c r="I46" i="1"/>
  <c r="J46" i="1"/>
  <c r="K46" i="1"/>
  <c r="L46" i="1"/>
  <c r="M46" i="1"/>
  <c r="I48" i="1"/>
  <c r="J48" i="1"/>
  <c r="K48" i="1"/>
  <c r="L48" i="1"/>
  <c r="M48" i="1"/>
  <c r="I49" i="1"/>
  <c r="J49" i="1"/>
  <c r="K49" i="1"/>
  <c r="L49" i="1"/>
  <c r="M49" i="1"/>
  <c r="I51" i="1"/>
  <c r="J51" i="1"/>
  <c r="K51" i="1"/>
  <c r="L51" i="1"/>
  <c r="M51" i="1"/>
  <c r="M40" i="1"/>
  <c r="L40" i="1"/>
  <c r="K40" i="1"/>
  <c r="J40" i="1"/>
  <c r="I40" i="1"/>
  <c r="H41" i="1"/>
  <c r="H43" i="1"/>
  <c r="H44" i="1"/>
  <c r="H45" i="1"/>
  <c r="H46" i="1"/>
  <c r="H48" i="1"/>
  <c r="H49" i="1"/>
  <c r="H51" i="1"/>
  <c r="H40" i="1"/>
  <c r="I8" i="1"/>
  <c r="J8" i="1"/>
  <c r="K8" i="1"/>
  <c r="L8" i="1"/>
  <c r="M8" i="1"/>
  <c r="I9" i="1"/>
  <c r="J9" i="1"/>
  <c r="K9" i="1"/>
  <c r="L9" i="1"/>
  <c r="M9" i="1"/>
  <c r="I10" i="1"/>
  <c r="J10" i="1"/>
  <c r="K10" i="1"/>
  <c r="L10" i="1"/>
  <c r="M10" i="1"/>
  <c r="I11" i="1"/>
  <c r="J11" i="1"/>
  <c r="K11" i="1"/>
  <c r="L11" i="1"/>
  <c r="M11" i="1"/>
  <c r="I13" i="1"/>
  <c r="J13" i="1"/>
  <c r="K13" i="1"/>
  <c r="L13" i="1"/>
  <c r="M13" i="1"/>
  <c r="K14" i="1"/>
  <c r="L14" i="1"/>
  <c r="M14" i="1"/>
  <c r="I15" i="1"/>
  <c r="J15" i="1"/>
  <c r="K15" i="1"/>
  <c r="L15" i="1"/>
  <c r="M15" i="1"/>
  <c r="I16" i="1"/>
  <c r="J16" i="1"/>
  <c r="M19" i="1"/>
  <c r="N19" i="1" s="1"/>
  <c r="L20" i="1"/>
  <c r="N20" i="1" s="1"/>
  <c r="I21" i="1"/>
  <c r="J21" i="1"/>
  <c r="K21" i="1"/>
  <c r="L21" i="1"/>
  <c r="M21" i="1"/>
  <c r="I22" i="1"/>
  <c r="J22" i="1"/>
  <c r="K22" i="1"/>
  <c r="L22" i="1"/>
  <c r="M22" i="1"/>
  <c r="K23" i="1"/>
  <c r="L23" i="1"/>
  <c r="M23" i="1"/>
  <c r="K24" i="1"/>
  <c r="L24" i="1"/>
  <c r="M24" i="1"/>
  <c r="I26" i="1"/>
  <c r="J26" i="1"/>
  <c r="K26" i="1"/>
  <c r="L26" i="1"/>
  <c r="M26" i="1"/>
  <c r="I27" i="1"/>
  <c r="J27" i="1"/>
  <c r="K27" i="1"/>
  <c r="L27" i="1"/>
  <c r="M27" i="1"/>
  <c r="I28" i="1"/>
  <c r="J28" i="1"/>
  <c r="K28" i="1"/>
  <c r="L28" i="1"/>
  <c r="I31" i="1"/>
  <c r="J31" i="1"/>
  <c r="K31" i="1"/>
  <c r="L31" i="1"/>
  <c r="M31" i="1"/>
  <c r="I32" i="1"/>
  <c r="J32" i="1"/>
  <c r="K32" i="1"/>
  <c r="L32" i="1"/>
  <c r="M32" i="1"/>
  <c r="I33" i="1"/>
  <c r="J33" i="1"/>
  <c r="K33" i="1"/>
  <c r="L33" i="1"/>
  <c r="I34" i="1"/>
  <c r="J34" i="1"/>
  <c r="K34" i="1"/>
  <c r="L34" i="1"/>
  <c r="M34" i="1"/>
  <c r="M7" i="1"/>
  <c r="L7" i="1"/>
  <c r="K7" i="1"/>
  <c r="J7" i="1"/>
  <c r="I7" i="1"/>
  <c r="T23" i="1" l="1"/>
  <c r="E75" i="1"/>
  <c r="B71" i="1"/>
  <c r="H72" i="1"/>
  <c r="M70" i="1"/>
  <c r="T10" i="1"/>
  <c r="T11" i="1" s="1"/>
  <c r="S10" i="1"/>
  <c r="S11" i="1" s="1"/>
  <c r="R23" i="1"/>
  <c r="R25" i="1" s="1"/>
  <c r="R26" i="1" s="1"/>
  <c r="R28" i="1" s="1"/>
  <c r="M67" i="1"/>
  <c r="G71" i="1"/>
  <c r="M71" i="1" s="1"/>
  <c r="H74" i="1"/>
  <c r="S23" i="1"/>
  <c r="S25" i="1" s="1"/>
  <c r="S26" i="1" s="1"/>
  <c r="S28" i="1" s="1"/>
  <c r="K67" i="1"/>
  <c r="K69" i="1"/>
  <c r="K74" i="1"/>
  <c r="I74" i="1"/>
  <c r="J67" i="1"/>
  <c r="V23" i="1"/>
  <c r="L70" i="1"/>
  <c r="D71" i="1"/>
  <c r="I72" i="1"/>
  <c r="U23" i="1"/>
  <c r="U25" i="1" s="1"/>
  <c r="U26" i="1" s="1"/>
  <c r="U28" i="1" s="1"/>
  <c r="C71" i="1"/>
  <c r="I71" i="1" s="1"/>
  <c r="L67" i="1"/>
  <c r="F71" i="1"/>
  <c r="M74" i="1"/>
  <c r="E71" i="1"/>
  <c r="J74" i="1"/>
  <c r="N74" i="1"/>
  <c r="M69" i="1"/>
  <c r="N69" i="1" s="1"/>
  <c r="V10" i="1"/>
  <c r="V11" i="1" s="1"/>
  <c r="J70" i="1"/>
  <c r="K72" i="1"/>
  <c r="K70" i="1"/>
  <c r="I70" i="1"/>
  <c r="N70" i="1" s="1"/>
  <c r="N23" i="1"/>
  <c r="H67" i="1"/>
  <c r="H69" i="1"/>
  <c r="V25" i="1"/>
  <c r="V26" i="1" s="1"/>
  <c r="V28" i="1" s="1"/>
  <c r="T25" i="1"/>
  <c r="T26" i="1" s="1"/>
  <c r="U19" i="1"/>
  <c r="T15" i="1"/>
  <c r="U10" i="1"/>
  <c r="U11" i="1" s="1"/>
  <c r="R10" i="1"/>
  <c r="R11" i="1" s="1"/>
  <c r="N45" i="1"/>
  <c r="N24" i="1"/>
  <c r="N51" i="1"/>
  <c r="N46" i="1"/>
  <c r="N33" i="1"/>
  <c r="N13" i="1"/>
  <c r="N14" i="1"/>
  <c r="N27" i="1"/>
  <c r="N26" i="1"/>
  <c r="N15" i="1"/>
  <c r="N32" i="1"/>
  <c r="N21" i="1"/>
  <c r="N34" i="1"/>
  <c r="N11" i="1"/>
  <c r="N44" i="1"/>
  <c r="N49" i="1"/>
  <c r="N10" i="1"/>
  <c r="N43" i="1"/>
  <c r="N22" i="1"/>
  <c r="N48" i="1"/>
  <c r="N31" i="1"/>
  <c r="N9" i="1"/>
  <c r="N7" i="1"/>
  <c r="N40" i="1"/>
  <c r="N41" i="1"/>
  <c r="N8" i="1"/>
  <c r="J71" i="1" l="1"/>
  <c r="H71" i="1"/>
  <c r="N67" i="1"/>
  <c r="K71" i="1"/>
  <c r="N72" i="1"/>
  <c r="L71" i="1"/>
  <c r="N71" i="1" s="1"/>
  <c r="T28" i="1"/>
  <c r="F35" i="1" l="1"/>
  <c r="E35" i="1"/>
  <c r="D35" i="1"/>
  <c r="C35" i="1"/>
  <c r="B35" i="1"/>
  <c r="G35" i="1"/>
  <c r="F29" i="1"/>
  <c r="E29" i="1"/>
  <c r="D29" i="1"/>
  <c r="C29" i="1"/>
  <c r="B29" i="1"/>
  <c r="G29" i="1"/>
  <c r="F25" i="1"/>
  <c r="E25" i="1"/>
  <c r="D25" i="1"/>
  <c r="C25" i="1"/>
  <c r="B25" i="1"/>
  <c r="G25" i="1"/>
  <c r="F17" i="1"/>
  <c r="E17" i="1"/>
  <c r="D17" i="1"/>
  <c r="C17" i="1"/>
  <c r="B17" i="1"/>
  <c r="G17" i="1"/>
  <c r="F12" i="1"/>
  <c r="F66" i="1" s="1"/>
  <c r="E12" i="1"/>
  <c r="E66" i="1" s="1"/>
  <c r="D12" i="1"/>
  <c r="C12" i="1"/>
  <c r="B12" i="1"/>
  <c r="G12" i="1"/>
  <c r="G42" i="1"/>
  <c r="F42" i="1"/>
  <c r="E42" i="1"/>
  <c r="D42" i="1"/>
  <c r="C42" i="1"/>
  <c r="B42" i="1"/>
  <c r="G66" i="1" l="1"/>
  <c r="B66" i="1"/>
  <c r="B81" i="1" s="1"/>
  <c r="C66" i="1"/>
  <c r="C81" i="1" s="1"/>
  <c r="D66" i="1"/>
  <c r="K66" i="1" s="1"/>
  <c r="E81" i="1"/>
  <c r="G81" i="1"/>
  <c r="H66" i="1"/>
  <c r="M66" i="1"/>
  <c r="F81" i="1"/>
  <c r="L66" i="1"/>
  <c r="B47" i="1"/>
  <c r="B86" i="1" s="1"/>
  <c r="B59" i="1"/>
  <c r="H59" i="1" s="1"/>
  <c r="M17" i="1"/>
  <c r="M29" i="1"/>
  <c r="D47" i="1"/>
  <c r="J42" i="1"/>
  <c r="D59" i="1"/>
  <c r="I17" i="1"/>
  <c r="I29" i="1"/>
  <c r="J29" i="1"/>
  <c r="F47" i="1"/>
  <c r="F59" i="1"/>
  <c r="L59" i="1" s="1"/>
  <c r="L42" i="1"/>
  <c r="K17" i="1"/>
  <c r="K29" i="1"/>
  <c r="E47" i="1"/>
  <c r="K42" i="1"/>
  <c r="E59" i="1"/>
  <c r="G47" i="1"/>
  <c r="M42" i="1"/>
  <c r="G59" i="1"/>
  <c r="H42" i="1"/>
  <c r="L17" i="1"/>
  <c r="L29" i="1"/>
  <c r="C47" i="1"/>
  <c r="C59" i="1"/>
  <c r="I59" i="1" s="1"/>
  <c r="I42" i="1"/>
  <c r="J17" i="1"/>
  <c r="M12" i="1"/>
  <c r="M25" i="1"/>
  <c r="M35" i="1"/>
  <c r="I25" i="1"/>
  <c r="J12" i="1"/>
  <c r="J25" i="1"/>
  <c r="J35" i="1"/>
  <c r="I12" i="1"/>
  <c r="K12" i="1"/>
  <c r="K25" i="1"/>
  <c r="K35" i="1"/>
  <c r="I35" i="1"/>
  <c r="L12" i="1"/>
  <c r="L25" i="1"/>
  <c r="L35" i="1"/>
  <c r="B30" i="1"/>
  <c r="G30" i="1"/>
  <c r="G85" i="1" s="1"/>
  <c r="G18" i="1"/>
  <c r="B18" i="1"/>
  <c r="C18" i="1"/>
  <c r="C30" i="1"/>
  <c r="D18" i="1"/>
  <c r="D30" i="1"/>
  <c r="E18" i="1"/>
  <c r="E30" i="1"/>
  <c r="F18" i="1"/>
  <c r="F30" i="1"/>
  <c r="I66" i="1" l="1"/>
  <c r="E97" i="1"/>
  <c r="T6" i="1"/>
  <c r="T7" i="1" s="1"/>
  <c r="D84" i="1"/>
  <c r="C86" i="1"/>
  <c r="C90" i="1"/>
  <c r="I18" i="1"/>
  <c r="D97" i="1"/>
  <c r="S6" i="1"/>
  <c r="S7" i="1" s="1"/>
  <c r="C84" i="1"/>
  <c r="C97" i="1"/>
  <c r="R6" i="1"/>
  <c r="R7" i="1" s="1"/>
  <c r="B84" i="1"/>
  <c r="G83" i="1"/>
  <c r="J59" i="1"/>
  <c r="F86" i="1"/>
  <c r="F90" i="1"/>
  <c r="G90" i="1"/>
  <c r="G86" i="1"/>
  <c r="D90" i="1"/>
  <c r="D86" i="1"/>
  <c r="D81" i="1"/>
  <c r="J66" i="1"/>
  <c r="N66" i="1" s="1"/>
  <c r="D85" i="1"/>
  <c r="D98" i="1" s="1"/>
  <c r="C83" i="1"/>
  <c r="H17" i="1"/>
  <c r="G84" i="1"/>
  <c r="G98" i="1"/>
  <c r="F83" i="1"/>
  <c r="G97" i="1"/>
  <c r="V6" i="1"/>
  <c r="V7" i="1" s="1"/>
  <c r="F84" i="1"/>
  <c r="E83" i="1"/>
  <c r="F85" i="1"/>
  <c r="F98" i="1" s="1"/>
  <c r="B36" i="1"/>
  <c r="C85" i="1"/>
  <c r="C98" i="1" s="1"/>
  <c r="B83" i="1"/>
  <c r="F97" i="1"/>
  <c r="U6" i="1"/>
  <c r="U7" i="1" s="1"/>
  <c r="E84" i="1"/>
  <c r="E86" i="1"/>
  <c r="E90" i="1"/>
  <c r="D83" i="1"/>
  <c r="E85" i="1"/>
  <c r="E98" i="1" s="1"/>
  <c r="K59" i="1"/>
  <c r="M59" i="1"/>
  <c r="L18" i="1"/>
  <c r="K18" i="1"/>
  <c r="H35" i="1"/>
  <c r="N17" i="1"/>
  <c r="J18" i="1"/>
  <c r="H12" i="1"/>
  <c r="H25" i="1"/>
  <c r="H29" i="1"/>
  <c r="E36" i="1"/>
  <c r="E37" i="1" s="1"/>
  <c r="K30" i="1"/>
  <c r="F36" i="1"/>
  <c r="L30" i="1"/>
  <c r="N29" i="1"/>
  <c r="G50" i="1"/>
  <c r="H47" i="1"/>
  <c r="G56" i="1"/>
  <c r="G87" i="1" s="1"/>
  <c r="G60" i="1"/>
  <c r="M47" i="1"/>
  <c r="D36" i="1"/>
  <c r="J30" i="1"/>
  <c r="D50" i="1"/>
  <c r="D56" i="1"/>
  <c r="D87" i="1" s="1"/>
  <c r="J47" i="1"/>
  <c r="D60" i="1"/>
  <c r="C36" i="1"/>
  <c r="I36" i="1" s="1"/>
  <c r="I30" i="1"/>
  <c r="E50" i="1"/>
  <c r="E56" i="1"/>
  <c r="E87" i="1" s="1"/>
  <c r="K47" i="1"/>
  <c r="E60" i="1"/>
  <c r="H8" i="1"/>
  <c r="H20" i="1"/>
  <c r="H32" i="1"/>
  <c r="H9" i="1"/>
  <c r="H21" i="1"/>
  <c r="H33" i="1"/>
  <c r="H11" i="1"/>
  <c r="H24" i="1"/>
  <c r="H10" i="1"/>
  <c r="H22" i="1"/>
  <c r="H34" i="1"/>
  <c r="H23" i="1"/>
  <c r="H13" i="1"/>
  <c r="H7" i="1"/>
  <c r="H16" i="1"/>
  <c r="H14" i="1"/>
  <c r="H26" i="1"/>
  <c r="H15" i="1"/>
  <c r="H27" i="1"/>
  <c r="M18" i="1"/>
  <c r="H28" i="1"/>
  <c r="H18" i="1"/>
  <c r="H19" i="1"/>
  <c r="H31" i="1"/>
  <c r="N42" i="1"/>
  <c r="N12" i="1"/>
  <c r="C50" i="1"/>
  <c r="C56" i="1"/>
  <c r="C87" i="1" s="1"/>
  <c r="I47" i="1"/>
  <c r="C60" i="1"/>
  <c r="G36" i="1"/>
  <c r="G37" i="1" s="1"/>
  <c r="M30" i="1"/>
  <c r="H30" i="1"/>
  <c r="N35" i="1"/>
  <c r="N25" i="1"/>
  <c r="F50" i="1"/>
  <c r="F56" i="1"/>
  <c r="F87" i="1" s="1"/>
  <c r="L47" i="1"/>
  <c r="F60" i="1"/>
  <c r="L60" i="1" s="1"/>
  <c r="B50" i="1"/>
  <c r="B52" i="1" s="1"/>
  <c r="B62" i="1" s="1"/>
  <c r="B56" i="1"/>
  <c r="B60" i="1"/>
  <c r="H60" i="1" s="1"/>
  <c r="B37" i="1"/>
  <c r="N59" i="1" l="1"/>
  <c r="B61" i="1"/>
  <c r="B87" i="1"/>
  <c r="K60" i="1"/>
  <c r="M60" i="1"/>
  <c r="G61" i="1"/>
  <c r="H56" i="1"/>
  <c r="M56" i="1"/>
  <c r="E61" i="1"/>
  <c r="K61" i="1" s="1"/>
  <c r="K56" i="1"/>
  <c r="F61" i="1"/>
  <c r="L56" i="1"/>
  <c r="I60" i="1"/>
  <c r="J60" i="1"/>
  <c r="C61" i="1"/>
  <c r="I61" i="1" s="1"/>
  <c r="I56" i="1"/>
  <c r="D61" i="1"/>
  <c r="J56" i="1"/>
  <c r="L36" i="1"/>
  <c r="N18" i="1"/>
  <c r="J36" i="1"/>
  <c r="C37" i="1"/>
  <c r="F37" i="1"/>
  <c r="N30" i="1"/>
  <c r="F52" i="1"/>
  <c r="L50" i="1"/>
  <c r="E52" i="1"/>
  <c r="K50" i="1"/>
  <c r="N47" i="1"/>
  <c r="D37" i="1"/>
  <c r="C52" i="1"/>
  <c r="I50" i="1"/>
  <c r="H36" i="1"/>
  <c r="M36" i="1"/>
  <c r="G52" i="1"/>
  <c r="M50" i="1"/>
  <c r="H50" i="1"/>
  <c r="D52" i="1"/>
  <c r="J50" i="1"/>
  <c r="K36" i="1"/>
  <c r="E91" i="1" l="1"/>
  <c r="E92" i="1"/>
  <c r="H61" i="1"/>
  <c r="F91" i="1"/>
  <c r="F92" i="1"/>
  <c r="N56" i="1"/>
  <c r="D91" i="1"/>
  <c r="D92" i="1"/>
  <c r="C92" i="1"/>
  <c r="C91" i="1"/>
  <c r="G91" i="1"/>
  <c r="G92" i="1"/>
  <c r="L61" i="1"/>
  <c r="N60" i="1"/>
  <c r="M61" i="1"/>
  <c r="N50" i="1"/>
  <c r="J61" i="1"/>
  <c r="N36" i="1"/>
  <c r="D62" i="1"/>
  <c r="D96" i="1" s="1"/>
  <c r="D99" i="1" s="1"/>
  <c r="J52" i="1"/>
  <c r="L52" i="1"/>
  <c r="F62" i="1"/>
  <c r="I52" i="1"/>
  <c r="C62" i="1"/>
  <c r="K52" i="1"/>
  <c r="E62" i="1"/>
  <c r="E96" i="1" s="1"/>
  <c r="E99" i="1" s="1"/>
  <c r="E100" i="1" s="1"/>
  <c r="M52" i="1"/>
  <c r="G62" i="1"/>
  <c r="G96" i="1" s="1"/>
  <c r="G99" i="1" s="1"/>
  <c r="H52" i="1"/>
  <c r="D100" i="1" l="1"/>
  <c r="N61" i="1"/>
  <c r="I62" i="1"/>
  <c r="C96" i="1"/>
  <c r="C99" i="1" s="1"/>
  <c r="C100" i="1" s="1"/>
  <c r="H62" i="1"/>
  <c r="G100" i="1"/>
  <c r="L62" i="1"/>
  <c r="F96" i="1"/>
  <c r="F99" i="1" s="1"/>
  <c r="F100" i="1" s="1"/>
  <c r="J62" i="1"/>
  <c r="M62" i="1"/>
  <c r="K62" i="1"/>
  <c r="N52" i="1"/>
  <c r="N62" i="1" l="1"/>
</calcChain>
</file>

<file path=xl/sharedStrings.xml><?xml version="1.0" encoding="utf-8"?>
<sst xmlns="http://schemas.openxmlformats.org/spreadsheetml/2006/main" count="117" uniqueCount="99">
  <si>
    <t>FRISBY S.A. BIC</t>
  </si>
  <si>
    <t>I5612 - Expendio por autoservicio de comidas preparadas</t>
  </si>
  <si>
    <t>Ingresos de actividades ordinarias</t>
  </si>
  <si>
    <t>Costo de ventas</t>
  </si>
  <si>
    <t>Otros ingresos</t>
  </si>
  <si>
    <t>Gastos de ventas</t>
  </si>
  <si>
    <t>Gastos de administración</t>
  </si>
  <si>
    <t>Otros gastos</t>
  </si>
  <si>
    <t>Ingresos financieros</t>
  </si>
  <si>
    <t>Costos financieros</t>
  </si>
  <si>
    <t>Ingreso (gasto) por impuestos</t>
  </si>
  <si>
    <t>Cifras en miles de pesos</t>
  </si>
  <si>
    <t>Efectivo y equivalentes al efectivo</t>
  </si>
  <si>
    <t>Cuentas comerciales por cobrar</t>
  </si>
  <si>
    <t>Inventarios corrientes</t>
  </si>
  <si>
    <t>Activos por impuestos corrientes</t>
  </si>
  <si>
    <t>Otros activos financieros corrientes</t>
  </si>
  <si>
    <t>Propiedades, planta y equipo</t>
  </si>
  <si>
    <t>Activos intangibles distintos de la plusvalía</t>
  </si>
  <si>
    <t>Activos por impuestos diferidos</t>
  </si>
  <si>
    <t>Activos corrientes totales</t>
  </si>
  <si>
    <t>Otros activos financieros no corrientes</t>
  </si>
  <si>
    <t>Cuentas por pagar comerciales</t>
  </si>
  <si>
    <t>Pasivos por impuestos corrientes</t>
  </si>
  <si>
    <t>Otros pasivos financieros corrientes</t>
  </si>
  <si>
    <t>Otros pasivos no financieros</t>
  </si>
  <si>
    <t>Otras provisiones corrientes</t>
  </si>
  <si>
    <t>Pasivos corrientes totales</t>
  </si>
  <si>
    <t>Pasivo por impuestos diferidos</t>
  </si>
  <si>
    <t>Otros pasivos financieros no corrientes</t>
  </si>
  <si>
    <t>Otros pasivos no financieros no corrientes</t>
  </si>
  <si>
    <t>Total de pasivos no corrientes</t>
  </si>
  <si>
    <t>Total pasivos</t>
  </si>
  <si>
    <t xml:space="preserve">Capital emitido </t>
  </si>
  <si>
    <t>Total de activos</t>
  </si>
  <si>
    <t>Activos no corrientes totales</t>
  </si>
  <si>
    <t>Depreciaciones y Amortizaciones</t>
  </si>
  <si>
    <t xml:space="preserve">Superavit por revaluación </t>
  </si>
  <si>
    <t>Otras reservas</t>
  </si>
  <si>
    <t xml:space="preserve">Ganancias acumuladas </t>
  </si>
  <si>
    <t>Patrimonio total</t>
  </si>
  <si>
    <t xml:space="preserve">Total de patrimonio y pasivos </t>
  </si>
  <si>
    <t>Provisiones corrientes empleados</t>
  </si>
  <si>
    <t>Utilidad bruta</t>
  </si>
  <si>
    <t>Utilidad operacional</t>
  </si>
  <si>
    <t>Utilidad antes de impuestos</t>
  </si>
  <si>
    <t>Utilidad neta</t>
  </si>
  <si>
    <t>A. Vertical</t>
  </si>
  <si>
    <t>Análisis Horizontal</t>
  </si>
  <si>
    <t>Promedio</t>
  </si>
  <si>
    <t>EBITDA</t>
  </si>
  <si>
    <t>Margen Bruto</t>
  </si>
  <si>
    <t>Margen Operacional</t>
  </si>
  <si>
    <t>Margen EBITDA</t>
  </si>
  <si>
    <t>Margen Neto</t>
  </si>
  <si>
    <t>KTNO (AC-PC)</t>
  </si>
  <si>
    <t>KTNO (Efectivo+CxC+Inv-CxP)</t>
  </si>
  <si>
    <t>Deudas corto plazo</t>
  </si>
  <si>
    <t>Deudas largo plazo</t>
  </si>
  <si>
    <t>Total deudas financieras</t>
  </si>
  <si>
    <t>Intereses</t>
  </si>
  <si>
    <t>CAPEX (Activo Fijo) (PPE+Intangibles)</t>
  </si>
  <si>
    <t>Prom. Activos</t>
  </si>
  <si>
    <t>Rotación Activos</t>
  </si>
  <si>
    <t>veces</t>
  </si>
  <si>
    <t>Activos Fijos (AF) = CAPEX</t>
  </si>
  <si>
    <t>Prom. AF</t>
  </si>
  <si>
    <t>Rotación AF</t>
  </si>
  <si>
    <t>Prom. Inventarios</t>
  </si>
  <si>
    <t>Rotación Inventarios</t>
  </si>
  <si>
    <t>Días de Inventario</t>
  </si>
  <si>
    <t>días</t>
  </si>
  <si>
    <t>Prom. CxC</t>
  </si>
  <si>
    <t>Rotación CxC</t>
  </si>
  <si>
    <t>Días de CxC</t>
  </si>
  <si>
    <t>Inventario Inicial</t>
  </si>
  <si>
    <t>Inventario Final</t>
  </si>
  <si>
    <t>Compras</t>
  </si>
  <si>
    <t>Prom. CxP</t>
  </si>
  <si>
    <t>Rotación CxP</t>
  </si>
  <si>
    <t>Días de CxP</t>
  </si>
  <si>
    <t>Ciclo de efectivo</t>
  </si>
  <si>
    <t>Inventarios/Ventas</t>
  </si>
  <si>
    <t>CxC/Ventas</t>
  </si>
  <si>
    <t>CxP/Ventas</t>
  </si>
  <si>
    <t>KTNO/Ventas</t>
  </si>
  <si>
    <t>Nivel endeudamiento (Pasivo total)</t>
  </si>
  <si>
    <t>Nivel endeudamiento (Deuda total)</t>
  </si>
  <si>
    <t>Apalancamiento financiero</t>
  </si>
  <si>
    <t>Cobertura de intereses desde el EBIT</t>
  </si>
  <si>
    <t>Cobertura de intereses desde el EBITDA</t>
  </si>
  <si>
    <t>Impacto carga financiera</t>
  </si>
  <si>
    <t>ROA Operacional</t>
  </si>
  <si>
    <t>ROA</t>
  </si>
  <si>
    <t>ROE</t>
  </si>
  <si>
    <t>DuPont</t>
  </si>
  <si>
    <t>Rotación de Activos</t>
  </si>
  <si>
    <t>Multiplicador de Capital</t>
  </si>
  <si>
    <t>Cambio neto en CAPEX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</si>
</sst>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\ #,##0;[Red]\-&quot;$&quot;\ #,##0"/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0.000"/>
    <numFmt numFmtId="169" formatCode="0.0%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8"/>
      <color indexed="8"/>
      <name val="Arial"/>
      <family val="2"/>
    </font>
    <font>
      <b/>
      <sz val="12"/>
      <name val="Franklin Gothic Book"/>
      <family val="2"/>
    </font>
    <font>
      <sz val="12"/>
      <name val="Franklin Gothic Book"/>
      <family val="2"/>
    </font>
    <font>
      <sz val="12"/>
      <color theme="9" tint="-0.499984740745262"/>
      <name val="Franklin Gothic Book"/>
      <family val="2"/>
    </font>
    <font>
      <b/>
      <sz val="12"/>
      <color theme="1"/>
      <name val="Franklin Gothic Book"/>
      <family val="2"/>
    </font>
    <font>
      <sz val="12"/>
      <color theme="1"/>
      <name val="Aptos Narrow"/>
      <family val="2"/>
      <scheme val="minor"/>
    </font>
    <font>
      <b/>
      <sz val="12"/>
      <color rgb="FF14085C"/>
      <name val="Franklin Gothic Boo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 vertical="top"/>
    </xf>
    <xf numFmtId="165" fontId="4" fillId="0" borderId="0" xfId="2" applyNumberFormat="1" applyFont="1" applyBorder="1" applyAlignment="1">
      <alignment vertical="center"/>
    </xf>
    <xf numFmtId="165" fontId="5" fillId="0" borderId="0" xfId="2" applyNumberFormat="1" applyFont="1" applyBorder="1" applyAlignment="1">
      <alignment vertical="center"/>
    </xf>
    <xf numFmtId="49" fontId="4" fillId="0" borderId="1" xfId="2" applyNumberFormat="1" applyFont="1" applyBorder="1" applyAlignment="1">
      <alignment horizontal="center" vertical="center"/>
    </xf>
    <xf numFmtId="6" fontId="6" fillId="2" borderId="1" xfId="0" applyNumberFormat="1" applyFont="1" applyFill="1" applyBorder="1" applyAlignment="1">
      <alignment horizontal="center" vertical="center"/>
    </xf>
    <xf numFmtId="6" fontId="7" fillId="0" borderId="2" xfId="0" applyNumberFormat="1" applyFont="1" applyBorder="1" applyAlignment="1">
      <alignment horizontal="center" vertical="center"/>
    </xf>
    <xf numFmtId="9" fontId="6" fillId="2" borderId="1" xfId="1" applyFont="1" applyFill="1" applyBorder="1" applyAlignment="1">
      <alignment horizontal="center" vertical="center"/>
    </xf>
    <xf numFmtId="9" fontId="7" fillId="0" borderId="2" xfId="1" applyFont="1" applyBorder="1" applyAlignment="1">
      <alignment horizontal="center" vertical="center"/>
    </xf>
    <xf numFmtId="165" fontId="4" fillId="0" borderId="0" xfId="2" applyNumberFormat="1" applyFont="1" applyFill="1" applyBorder="1" applyAlignment="1">
      <alignment vertical="center"/>
    </xf>
    <xf numFmtId="165" fontId="5" fillId="0" borderId="0" xfId="2" applyNumberFormat="1" applyFont="1" applyFill="1" applyBorder="1" applyAlignment="1">
      <alignment vertical="center"/>
    </xf>
    <xf numFmtId="0" fontId="8" fillId="0" borderId="0" xfId="0" applyFont="1"/>
    <xf numFmtId="165" fontId="9" fillId="0" borderId="0" xfId="2" applyNumberFormat="1" applyFont="1" applyBorder="1" applyAlignment="1">
      <alignment vertical="center"/>
    </xf>
    <xf numFmtId="166" fontId="9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9" fontId="6" fillId="2" borderId="1" xfId="0" applyNumberFormat="1" applyFont="1" applyFill="1" applyBorder="1" applyAlignment="1">
      <alignment horizontal="center" vertical="center"/>
    </xf>
    <xf numFmtId="166" fontId="6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7" fontId="6" fillId="2" borderId="1" xfId="0" applyNumberFormat="1" applyFont="1" applyFill="1" applyBorder="1" applyAlignment="1">
      <alignment horizontal="center" vertical="center"/>
    </xf>
    <xf numFmtId="168" fontId="6" fillId="2" borderId="1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169" fontId="6" fillId="2" borderId="1" xfId="1" applyNumberFormat="1" applyFont="1" applyFill="1" applyBorder="1" applyAlignment="1">
      <alignment horizontal="center" vertical="center"/>
    </xf>
    <xf numFmtId="6" fontId="7" fillId="0" borderId="0" xfId="0" applyNumberFormat="1" applyFont="1" applyAlignment="1">
      <alignment horizontal="center" vertical="center"/>
    </xf>
    <xf numFmtId="9" fontId="7" fillId="0" borderId="0" xfId="1" applyFont="1" applyBorder="1" applyAlignment="1">
      <alignment horizontal="center" vertical="center"/>
    </xf>
    <xf numFmtId="6" fontId="6" fillId="2" borderId="0" xfId="0" applyNumberFormat="1" applyFont="1" applyFill="1" applyAlignment="1">
      <alignment horizontal="center" vertical="center"/>
    </xf>
    <xf numFmtId="9" fontId="6" fillId="2" borderId="0" xfId="1" applyFont="1" applyFill="1" applyBorder="1" applyAlignment="1">
      <alignment horizontal="center" vertical="center"/>
    </xf>
    <xf numFmtId="6" fontId="0" fillId="0" borderId="0" xfId="0" applyNumberFormat="1"/>
    <xf numFmtId="9" fontId="5" fillId="0" borderId="0" xfId="1" applyFont="1" applyFill="1" applyBorder="1" applyAlignment="1">
      <alignment vertical="center"/>
    </xf>
    <xf numFmtId="169" fontId="6" fillId="2" borderId="1" xfId="0" applyNumberFormat="1" applyFont="1" applyFill="1" applyBorder="1" applyAlignment="1">
      <alignment horizontal="center" vertical="center"/>
    </xf>
    <xf numFmtId="165" fontId="5" fillId="0" borderId="0" xfId="2" applyNumberFormat="1" applyFont="1" applyFill="1" applyBorder="1" applyAlignment="1">
      <alignment horizontal="left" vertical="center"/>
    </xf>
    <xf numFmtId="165" fontId="5" fillId="0" borderId="3" xfId="2" applyNumberFormat="1" applyFont="1" applyFill="1" applyBorder="1" applyAlignment="1">
      <alignment horizontal="left" vertical="center"/>
    </xf>
    <xf numFmtId="49" fontId="4" fillId="0" borderId="1" xfId="2" applyNumberFormat="1" applyFont="1" applyBorder="1" applyAlignment="1">
      <alignment horizontal="center" vertical="center"/>
    </xf>
    <xf numFmtId="49" fontId="4" fillId="0" borderId="0" xfId="2" applyNumberFormat="1" applyFont="1" applyBorder="1" applyAlignment="1">
      <alignment horizontal="center" vertical="center"/>
    </xf>
    <xf numFmtId="165" fontId="9" fillId="0" borderId="0" xfId="2" applyNumberFormat="1" applyFont="1" applyBorder="1" applyAlignment="1">
      <alignment horizontal="center" vertical="center"/>
    </xf>
  </cellXfs>
  <cellStyles count="3">
    <cellStyle name="Comma 28" xfId="2" xr:uid="{AA59E6C8-C8A6-44A0-A06C-6FE3E665D020}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554462</xdr:colOff>
      <xdr:row>3</xdr:row>
      <xdr:rowOff>95250</xdr:rowOff>
    </xdr:from>
    <xdr:to>
      <xdr:col>28</xdr:col>
      <xdr:colOff>14478</xdr:colOff>
      <xdr:row>4</xdr:row>
      <xdr:rowOff>193663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4228DB67-2ACF-4954-9C24-CB752972F064}"/>
                </a:ext>
              </a:extLst>
            </xdr:cNvPr>
            <xdr:cNvSpPr txBox="1"/>
          </xdr:nvSpPr>
          <xdr:spPr>
            <a:xfrm>
              <a:off x="25767137" y="723900"/>
              <a:ext cx="3270016" cy="288913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Rotaci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ó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n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de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Activos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= </m:t>
                    </m:r>
                    <m:f>
                      <m:fPr>
                        <m:ctrlPr>
                          <a:rPr lang="es-MX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Ventas</m:t>
                        </m:r>
                      </m:num>
                      <m:den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Promedio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Activos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Totales</m:t>
                        </m:r>
                      </m:den>
                    </m:f>
                  </m:oMath>
                </m:oMathPara>
              </a14:m>
              <a:endParaRPr lang="es-CO"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endParaRPr>
            </a:p>
          </xdr:txBody>
        </xdr:sp>
      </mc:Choice>
      <mc:Fallback xmlns="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4228DB67-2ACF-4954-9C24-CB752972F064}"/>
                </a:ext>
              </a:extLst>
            </xdr:cNvPr>
            <xdr:cNvSpPr txBox="1"/>
          </xdr:nvSpPr>
          <xdr:spPr>
            <a:xfrm>
              <a:off x="25767137" y="723900"/>
              <a:ext cx="3270016" cy="288913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"Rotación de Activos = " </a:t>
              </a:r>
              <a:r>
                <a:rPr lang="es-MX" sz="1000" b="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 "Ventas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/"</a:t>
              </a:r>
              <a:r>
                <a:rPr lang="es-MX" sz="1000" b="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Promedio Activos Totales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</a:t>
              </a:r>
              <a:endParaRPr lang="es-CO"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endParaRPr>
            </a:p>
          </xdr:txBody>
        </xdr:sp>
      </mc:Fallback>
    </mc:AlternateContent>
    <xdr:clientData/>
  </xdr:twoCellAnchor>
  <xdr:twoCellAnchor>
    <xdr:from>
      <xdr:col>23</xdr:col>
      <xdr:colOff>663317</xdr:colOff>
      <xdr:row>7</xdr:row>
      <xdr:rowOff>91807</xdr:rowOff>
    </xdr:from>
    <xdr:to>
      <xdr:col>27</xdr:col>
      <xdr:colOff>613984</xdr:colOff>
      <xdr:row>8</xdr:row>
      <xdr:rowOff>198213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8">
              <a:extLst>
                <a:ext uri="{FF2B5EF4-FFF2-40B4-BE49-F238E27FC236}">
                  <a16:creationId xmlns:a16="http://schemas.microsoft.com/office/drawing/2014/main" id="{62B297B2-7CD9-43C5-8605-9F65B898CDC3}"/>
                </a:ext>
              </a:extLst>
            </xdr:cNvPr>
            <xdr:cNvSpPr txBox="1"/>
          </xdr:nvSpPr>
          <xdr:spPr>
            <a:xfrm>
              <a:off x="25875992" y="1539607"/>
              <a:ext cx="2998667" cy="315956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Rotaci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ó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n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Activos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Fijos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= </m:t>
                    </m:r>
                    <m:f>
                      <m:fPr>
                        <m:ctrlPr>
                          <a:rPr lang="es-MX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Ventas</m:t>
                        </m:r>
                      </m:num>
                      <m:den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Promedio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Activos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Fijos</m:t>
                        </m:r>
                      </m:den>
                    </m:f>
                  </m:oMath>
                </m:oMathPara>
              </a14:m>
              <a:endParaRPr lang="es-CO"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endParaRPr>
            </a:p>
          </xdr:txBody>
        </xdr:sp>
      </mc:Choice>
      <mc:Fallback xmlns="">
        <xdr:sp macro="" textlink="">
          <xdr:nvSpPr>
            <xdr:cNvPr id="3" name="CuadroTexto 8">
              <a:extLst>
                <a:ext uri="{FF2B5EF4-FFF2-40B4-BE49-F238E27FC236}">
                  <a16:creationId xmlns:a16="http://schemas.microsoft.com/office/drawing/2014/main" id="{62B297B2-7CD9-43C5-8605-9F65B898CDC3}"/>
                </a:ext>
              </a:extLst>
            </xdr:cNvPr>
            <xdr:cNvSpPr txBox="1"/>
          </xdr:nvSpPr>
          <xdr:spPr>
            <a:xfrm>
              <a:off x="25875992" y="1539607"/>
              <a:ext cx="2998667" cy="315956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"Rotación Activos Fijos = " </a:t>
              </a:r>
              <a:r>
                <a:rPr lang="es-MX" sz="1000" b="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 "Ventas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/"</a:t>
              </a:r>
              <a:r>
                <a:rPr lang="es-MX" sz="1000" b="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Promedio Activos Fijos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</a:t>
              </a:r>
              <a:endParaRPr lang="es-CO"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endParaRPr>
            </a:p>
          </xdr:txBody>
        </xdr:sp>
      </mc:Fallback>
    </mc:AlternateContent>
    <xdr:clientData/>
  </xdr:twoCellAnchor>
  <xdr:twoCellAnchor>
    <xdr:from>
      <xdr:col>23</xdr:col>
      <xdr:colOff>601496</xdr:colOff>
      <xdr:row>11</xdr:row>
      <xdr:rowOff>182067</xdr:rowOff>
    </xdr:from>
    <xdr:to>
      <xdr:col>27</xdr:col>
      <xdr:colOff>653946</xdr:colOff>
      <xdr:row>13</xdr:row>
      <xdr:rowOff>53181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14">
              <a:extLst>
                <a:ext uri="{FF2B5EF4-FFF2-40B4-BE49-F238E27FC236}">
                  <a16:creationId xmlns:a16="http://schemas.microsoft.com/office/drawing/2014/main" id="{5D5A9BCC-4676-4699-AE2E-FE01529BF882}"/>
                </a:ext>
              </a:extLst>
            </xdr:cNvPr>
            <xdr:cNvSpPr txBox="1"/>
          </xdr:nvSpPr>
          <xdr:spPr>
            <a:xfrm>
              <a:off x="25814171" y="2468067"/>
              <a:ext cx="3100450" cy="290214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Rotaci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ó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n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de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Inventarios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= </m:t>
                    </m:r>
                    <m:f>
                      <m:fPr>
                        <m:ctrlPr>
                          <a:rPr lang="es-MX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Costos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de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Ventas</m:t>
                        </m:r>
                      </m:num>
                      <m:den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Promedio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Inventarios</m:t>
                        </m:r>
                      </m:den>
                    </m:f>
                  </m:oMath>
                </m:oMathPara>
              </a14:m>
              <a:endParaRPr lang="es-CO"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endParaRPr>
            </a:p>
          </xdr:txBody>
        </xdr:sp>
      </mc:Choice>
      <mc:Fallback xmlns="">
        <xdr:sp macro="" textlink="">
          <xdr:nvSpPr>
            <xdr:cNvPr id="4" name="CuadroTexto 14">
              <a:extLst>
                <a:ext uri="{FF2B5EF4-FFF2-40B4-BE49-F238E27FC236}">
                  <a16:creationId xmlns:a16="http://schemas.microsoft.com/office/drawing/2014/main" id="{5D5A9BCC-4676-4699-AE2E-FE01529BF882}"/>
                </a:ext>
              </a:extLst>
            </xdr:cNvPr>
            <xdr:cNvSpPr txBox="1"/>
          </xdr:nvSpPr>
          <xdr:spPr>
            <a:xfrm>
              <a:off x="25814171" y="2468067"/>
              <a:ext cx="3100450" cy="290214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"Rotación de Inventarios = " </a:t>
              </a:r>
              <a:r>
                <a:rPr lang="es-MX" sz="1000" b="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 "Costos de Ventas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/"</a:t>
              </a:r>
              <a:r>
                <a:rPr lang="es-MX" sz="1000" b="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Promedio Inventarios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</a:t>
              </a:r>
              <a:endParaRPr lang="es-CO"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endParaRPr>
            </a:p>
          </xdr:txBody>
        </xdr:sp>
      </mc:Fallback>
    </mc:AlternateContent>
    <xdr:clientData/>
  </xdr:twoCellAnchor>
  <xdr:twoCellAnchor>
    <xdr:from>
      <xdr:col>24</xdr:col>
      <xdr:colOff>38870</xdr:colOff>
      <xdr:row>13</xdr:row>
      <xdr:rowOff>145236</xdr:rowOff>
    </xdr:from>
    <xdr:to>
      <xdr:col>27</xdr:col>
      <xdr:colOff>374396</xdr:colOff>
      <xdr:row>15</xdr:row>
      <xdr:rowOff>19538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12">
              <a:extLst>
                <a:ext uri="{FF2B5EF4-FFF2-40B4-BE49-F238E27FC236}">
                  <a16:creationId xmlns:a16="http://schemas.microsoft.com/office/drawing/2014/main" id="{7B480AE8-A55A-432E-8D43-2BCF59B26390}"/>
                </a:ext>
              </a:extLst>
            </xdr:cNvPr>
            <xdr:cNvSpPr txBox="1"/>
          </xdr:nvSpPr>
          <xdr:spPr>
            <a:xfrm>
              <a:off x="26013545" y="2850336"/>
              <a:ext cx="2621526" cy="293402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D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í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as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de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Inventario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= </m:t>
                    </m:r>
                    <m:f>
                      <m:fPr>
                        <m:ctrlPr>
                          <a:rPr lang="es-MX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365</m:t>
                        </m:r>
                      </m:num>
                      <m:den>
                        <m:r>
                          <m:rPr>
                            <m:nor/>
                          </m:rPr>
                          <a:rPr lang="es-MX" sz="100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Rotaci</m:t>
                        </m:r>
                        <m:r>
                          <m:rPr>
                            <m:nor/>
                          </m:rPr>
                          <a:rPr lang="es-MX" sz="100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ó</m:t>
                        </m:r>
                        <m:r>
                          <m:rPr>
                            <m:nor/>
                          </m:rPr>
                          <a:rPr lang="es-MX" sz="100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n</m:t>
                        </m:r>
                        <m:r>
                          <m:rPr>
                            <m:nor/>
                          </m:rPr>
                          <a:rPr lang="es-MX" sz="100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MX" sz="100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de</m:t>
                        </m:r>
                        <m:r>
                          <m:rPr>
                            <m:nor/>
                          </m:rPr>
                          <a:rPr lang="es-MX" sz="100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MX" sz="100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Inventarios</m:t>
                        </m:r>
                      </m:den>
                    </m:f>
                  </m:oMath>
                </m:oMathPara>
              </a14:m>
              <a:endParaRPr lang="es-CO"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endParaRPr>
            </a:p>
          </xdr:txBody>
        </xdr:sp>
      </mc:Choice>
      <mc:Fallback xmlns="">
        <xdr:sp macro="" textlink="">
          <xdr:nvSpPr>
            <xdr:cNvPr id="5" name="CuadroTexto 12">
              <a:extLst>
                <a:ext uri="{FF2B5EF4-FFF2-40B4-BE49-F238E27FC236}">
                  <a16:creationId xmlns:a16="http://schemas.microsoft.com/office/drawing/2014/main" id="{7B480AE8-A55A-432E-8D43-2BCF59B26390}"/>
                </a:ext>
              </a:extLst>
            </xdr:cNvPr>
            <xdr:cNvSpPr txBox="1"/>
          </xdr:nvSpPr>
          <xdr:spPr>
            <a:xfrm>
              <a:off x="26013545" y="2850336"/>
              <a:ext cx="2621526" cy="293402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"Días de Inventario = " </a:t>
              </a:r>
              <a:r>
                <a:rPr lang="es-MX" sz="1000" b="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 "365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/"</a:t>
              </a:r>
              <a:r>
                <a:rPr lang="es-MX" sz="100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Rotación de Inventarios</a:t>
              </a:r>
              <a:r>
                <a:rPr lang="es-MX" sz="100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</a:t>
              </a:r>
              <a:endParaRPr lang="es-CO"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endParaRPr>
            </a:p>
          </xdr:txBody>
        </xdr:sp>
      </mc:Fallback>
    </mc:AlternateContent>
    <xdr:clientData/>
  </xdr:twoCellAnchor>
  <xdr:twoCellAnchor>
    <xdr:from>
      <xdr:col>23</xdr:col>
      <xdr:colOff>628118</xdr:colOff>
      <xdr:row>15</xdr:row>
      <xdr:rowOff>170139</xdr:rowOff>
    </xdr:from>
    <xdr:to>
      <xdr:col>28</xdr:col>
      <xdr:colOff>623455</xdr:colOff>
      <xdr:row>17</xdr:row>
      <xdr:rowOff>162030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15">
              <a:extLst>
                <a:ext uri="{FF2B5EF4-FFF2-40B4-BE49-F238E27FC236}">
                  <a16:creationId xmlns:a16="http://schemas.microsoft.com/office/drawing/2014/main" id="{2F836CB9-D6A6-4089-AF47-80A36A18F7D4}"/>
                </a:ext>
              </a:extLst>
            </xdr:cNvPr>
            <xdr:cNvSpPr txBox="1"/>
          </xdr:nvSpPr>
          <xdr:spPr>
            <a:xfrm>
              <a:off x="25840793" y="3294339"/>
              <a:ext cx="3805337" cy="410991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no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Rotaci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ó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n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Cuentas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por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Cobrar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= </m:t>
                    </m:r>
                    <m:f>
                      <m:fPr>
                        <m:ctrlPr>
                          <a:rPr lang="es-MX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Ventas</m:t>
                        </m:r>
                      </m:num>
                      <m:den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Promedio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Cuentas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por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Cobrar</m:t>
                        </m:r>
                      </m:den>
                    </m:f>
                  </m:oMath>
                </m:oMathPara>
              </a14:m>
              <a:endParaRPr lang="es-CO"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endParaRPr>
            </a:p>
          </xdr:txBody>
        </xdr:sp>
      </mc:Choice>
      <mc:Fallback xmlns="">
        <xdr:sp macro="" textlink="">
          <xdr:nvSpPr>
            <xdr:cNvPr id="6" name="CuadroTexto 15">
              <a:extLst>
                <a:ext uri="{FF2B5EF4-FFF2-40B4-BE49-F238E27FC236}">
                  <a16:creationId xmlns:a16="http://schemas.microsoft.com/office/drawing/2014/main" id="{2F836CB9-D6A6-4089-AF47-80A36A18F7D4}"/>
                </a:ext>
              </a:extLst>
            </xdr:cNvPr>
            <xdr:cNvSpPr txBox="1"/>
          </xdr:nvSpPr>
          <xdr:spPr>
            <a:xfrm>
              <a:off x="25840793" y="3294339"/>
              <a:ext cx="3805337" cy="410991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no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"Rotación Cuentas por Cobrar = " </a:t>
              </a:r>
              <a:r>
                <a:rPr lang="es-MX" sz="1000" b="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 "Ventas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/"</a:t>
              </a:r>
              <a:r>
                <a:rPr lang="es-MX" sz="1000" b="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Promedio Cuentas por Cobrar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</a:t>
              </a:r>
              <a:endParaRPr lang="es-CO"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endParaRPr>
            </a:p>
          </xdr:txBody>
        </xdr:sp>
      </mc:Fallback>
    </mc:AlternateContent>
    <xdr:clientData/>
  </xdr:twoCellAnchor>
  <xdr:twoCellAnchor>
    <xdr:from>
      <xdr:col>23</xdr:col>
      <xdr:colOff>679588</xdr:colOff>
      <xdr:row>17</xdr:row>
      <xdr:rowOff>152740</xdr:rowOff>
    </xdr:from>
    <xdr:to>
      <xdr:col>28</xdr:col>
      <xdr:colOff>593821</xdr:colOff>
      <xdr:row>19</xdr:row>
      <xdr:rowOff>50895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uadroTexto 13">
              <a:extLst>
                <a:ext uri="{FF2B5EF4-FFF2-40B4-BE49-F238E27FC236}">
                  <a16:creationId xmlns:a16="http://schemas.microsoft.com/office/drawing/2014/main" id="{F43DD185-BD9F-493D-9674-54B57014512F}"/>
                </a:ext>
              </a:extLst>
            </xdr:cNvPr>
            <xdr:cNvSpPr txBox="1"/>
          </xdr:nvSpPr>
          <xdr:spPr>
            <a:xfrm>
              <a:off x="25892263" y="3696040"/>
              <a:ext cx="3724233" cy="317255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D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í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as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de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Cuentas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por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Cobrar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= </m:t>
                    </m:r>
                    <m:f>
                      <m:fPr>
                        <m:ctrlPr>
                          <a:rPr lang="es-MX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365</m:t>
                        </m:r>
                      </m:num>
                      <m:den>
                        <m:r>
                          <m:rPr>
                            <m:nor/>
                          </m:rPr>
                          <a:rPr lang="es-MX" sz="100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Rotaci</m:t>
                        </m:r>
                        <m:r>
                          <m:rPr>
                            <m:nor/>
                          </m:rPr>
                          <a:rPr lang="es-MX" sz="100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ó</m:t>
                        </m:r>
                        <m:r>
                          <m:rPr>
                            <m:nor/>
                          </m:rPr>
                          <a:rPr lang="es-MX" sz="100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n</m:t>
                        </m:r>
                        <m:r>
                          <m:rPr>
                            <m:nor/>
                          </m:rPr>
                          <a:rPr lang="es-MX" sz="100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MX" sz="100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de</m:t>
                        </m:r>
                        <m:r>
                          <m:rPr>
                            <m:nor/>
                          </m:rPr>
                          <a:rPr lang="es-MX" sz="100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Cuentas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por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Cobrar</m:t>
                        </m:r>
                      </m:den>
                    </m:f>
                  </m:oMath>
                </m:oMathPara>
              </a14:m>
              <a:endParaRPr lang="es-CO"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endParaRPr>
            </a:p>
          </xdr:txBody>
        </xdr:sp>
      </mc:Choice>
      <mc:Fallback xmlns="">
        <xdr:sp macro="" textlink="">
          <xdr:nvSpPr>
            <xdr:cNvPr id="7" name="CuadroTexto 13">
              <a:extLst>
                <a:ext uri="{FF2B5EF4-FFF2-40B4-BE49-F238E27FC236}">
                  <a16:creationId xmlns:a16="http://schemas.microsoft.com/office/drawing/2014/main" id="{F43DD185-BD9F-493D-9674-54B57014512F}"/>
                </a:ext>
              </a:extLst>
            </xdr:cNvPr>
            <xdr:cNvSpPr txBox="1"/>
          </xdr:nvSpPr>
          <xdr:spPr>
            <a:xfrm>
              <a:off x="25892263" y="3696040"/>
              <a:ext cx="3724233" cy="317255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"Días de Cuentas por Cobrar = " </a:t>
              </a:r>
              <a:r>
                <a:rPr lang="es-MX" sz="1000" b="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 "365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/"</a:t>
              </a:r>
              <a:r>
                <a:rPr lang="es-MX" sz="100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Rotación de </a:t>
              </a:r>
              <a:r>
                <a:rPr lang="es-MX" sz="1000" b="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Cuentas por Cobrar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</a:t>
              </a:r>
              <a:endParaRPr lang="es-CO"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endParaRPr>
            </a:p>
          </xdr:txBody>
        </xdr:sp>
      </mc:Fallback>
    </mc:AlternateContent>
    <xdr:clientData/>
  </xdr:twoCellAnchor>
  <xdr:twoCellAnchor>
    <xdr:from>
      <xdr:col>23</xdr:col>
      <xdr:colOff>597945</xdr:colOff>
      <xdr:row>21</xdr:row>
      <xdr:rowOff>133031</xdr:rowOff>
    </xdr:from>
    <xdr:to>
      <xdr:col>28</xdr:col>
      <xdr:colOff>587043</xdr:colOff>
      <xdr:row>23</xdr:row>
      <xdr:rowOff>32941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CuadroTexto 2">
              <a:extLst>
                <a:ext uri="{FF2B5EF4-FFF2-40B4-BE49-F238E27FC236}">
                  <a16:creationId xmlns:a16="http://schemas.microsoft.com/office/drawing/2014/main" id="{F6929466-4662-4C4B-89B7-18F8CE05A527}"/>
                </a:ext>
              </a:extLst>
            </xdr:cNvPr>
            <xdr:cNvSpPr txBox="1"/>
          </xdr:nvSpPr>
          <xdr:spPr>
            <a:xfrm>
              <a:off x="25810620" y="4514531"/>
              <a:ext cx="3799098" cy="319010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Rotaci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ó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n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Cuentas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por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Pagar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= </m:t>
                    </m:r>
                    <m:f>
                      <m:fPr>
                        <m:ctrlPr>
                          <a:rPr lang="es-MX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Compras</m:t>
                        </m:r>
                      </m:num>
                      <m:den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Promedio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Cuentas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por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Pagar</m:t>
                        </m:r>
                      </m:den>
                    </m:f>
                  </m:oMath>
                </m:oMathPara>
              </a14:m>
              <a:endParaRPr lang="es-CO"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endParaRPr>
            </a:p>
          </xdr:txBody>
        </xdr:sp>
      </mc:Choice>
      <mc:Fallback xmlns="">
        <xdr:sp macro="" textlink="">
          <xdr:nvSpPr>
            <xdr:cNvPr id="8" name="CuadroTexto 2">
              <a:extLst>
                <a:ext uri="{FF2B5EF4-FFF2-40B4-BE49-F238E27FC236}">
                  <a16:creationId xmlns:a16="http://schemas.microsoft.com/office/drawing/2014/main" id="{F6929466-4662-4C4B-89B7-18F8CE05A527}"/>
                </a:ext>
              </a:extLst>
            </xdr:cNvPr>
            <xdr:cNvSpPr txBox="1"/>
          </xdr:nvSpPr>
          <xdr:spPr>
            <a:xfrm>
              <a:off x="25810620" y="4514531"/>
              <a:ext cx="3799098" cy="319010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"Rotación Cuentas por Pagar = " </a:t>
              </a:r>
              <a:r>
                <a:rPr lang="es-MX" sz="1000" b="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 "Compras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/"</a:t>
              </a:r>
              <a:r>
                <a:rPr lang="es-MX" sz="1000" b="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Promedio Cuentas por Pagar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</a:t>
              </a:r>
              <a:endParaRPr lang="es-CO"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endParaRPr>
            </a:p>
          </xdr:txBody>
        </xdr:sp>
      </mc:Fallback>
    </mc:AlternateContent>
    <xdr:clientData/>
  </xdr:twoCellAnchor>
  <xdr:twoCellAnchor>
    <xdr:from>
      <xdr:col>23</xdr:col>
      <xdr:colOff>644092</xdr:colOff>
      <xdr:row>20</xdr:row>
      <xdr:rowOff>69463</xdr:rowOff>
    </xdr:from>
    <xdr:to>
      <xdr:col>29</xdr:col>
      <xdr:colOff>93113</xdr:colOff>
      <xdr:row>21</xdr:row>
      <xdr:rowOff>11272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CuadroTexto 11">
              <a:extLst>
                <a:ext uri="{FF2B5EF4-FFF2-40B4-BE49-F238E27FC236}">
                  <a16:creationId xmlns:a16="http://schemas.microsoft.com/office/drawing/2014/main" id="{442369E6-79A2-4F14-B2AA-EB2E61A0A70D}"/>
                </a:ext>
              </a:extLst>
            </xdr:cNvPr>
            <xdr:cNvSpPr txBox="1"/>
          </xdr:nvSpPr>
          <xdr:spPr>
            <a:xfrm>
              <a:off x="25856767" y="4241413"/>
              <a:ext cx="4021021" cy="151359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es-MX" sz="1000" b="0" i="0">
                        <a:solidFill>
                          <a:schemeClr val="tx1"/>
                        </a:solidFill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Compras</m:t>
                    </m:r>
                    <m:r>
                      <m:rPr>
                        <m:nor/>
                      </m:rPr>
                      <a:rPr lang="es-MX" sz="1000" b="0" i="0">
                        <a:solidFill>
                          <a:schemeClr val="tx1"/>
                        </a:solidFill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= </m:t>
                    </m:r>
                    <m:r>
                      <m:rPr>
                        <m:nor/>
                      </m:rPr>
                      <a:rPr lang="es-MX" sz="1000" b="0" i="0">
                        <a:solidFill>
                          <a:schemeClr val="tx1"/>
                        </a:solidFill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Costo</m:t>
                    </m:r>
                    <m:r>
                      <m:rPr>
                        <m:nor/>
                      </m:rPr>
                      <a:rPr lang="es-MX" sz="1000" b="0" i="0">
                        <a:solidFill>
                          <a:schemeClr val="tx1"/>
                        </a:solidFill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solidFill>
                          <a:schemeClr val="tx1"/>
                        </a:solidFill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de</m:t>
                    </m:r>
                    <m:r>
                      <m:rPr>
                        <m:nor/>
                      </m:rPr>
                      <a:rPr lang="es-MX" sz="1000" b="0" i="0">
                        <a:solidFill>
                          <a:schemeClr val="tx1"/>
                        </a:solidFill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solidFill>
                          <a:schemeClr val="tx1"/>
                        </a:solidFill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Ventas</m:t>
                    </m:r>
                    <m:r>
                      <m:rPr>
                        <m:nor/>
                      </m:rPr>
                      <a:rPr lang="es-MX" sz="1000" b="0" i="0">
                        <a:solidFill>
                          <a:schemeClr val="tx1"/>
                        </a:solidFill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+ </m:t>
                    </m:r>
                    <m:r>
                      <m:rPr>
                        <m:nor/>
                      </m:rPr>
                      <a:rPr lang="es-MX" sz="1000" b="0" i="0">
                        <a:solidFill>
                          <a:schemeClr val="tx1"/>
                        </a:solidFill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Inventario</m:t>
                    </m:r>
                    <m:r>
                      <m:rPr>
                        <m:nor/>
                      </m:rPr>
                      <a:rPr lang="es-MX" sz="1000" b="0" i="0">
                        <a:solidFill>
                          <a:schemeClr val="tx1"/>
                        </a:solidFill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solidFill>
                          <a:schemeClr val="tx1"/>
                        </a:solidFill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Final</m:t>
                    </m:r>
                    <m:r>
                      <m:rPr>
                        <m:nor/>
                      </m:rPr>
                      <a:rPr lang="es-MX" sz="1000" b="0" i="0">
                        <a:solidFill>
                          <a:schemeClr val="tx1"/>
                        </a:solidFill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– </m:t>
                    </m:r>
                    <m:r>
                      <m:rPr>
                        <m:nor/>
                      </m:rPr>
                      <a:rPr lang="es-MX" sz="1000" b="0" i="0">
                        <a:solidFill>
                          <a:schemeClr val="tx1"/>
                        </a:solidFill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Inventario</m:t>
                    </m:r>
                    <m:r>
                      <m:rPr>
                        <m:nor/>
                      </m:rPr>
                      <a:rPr lang="es-MX" sz="1000" b="0" i="0">
                        <a:solidFill>
                          <a:schemeClr val="tx1"/>
                        </a:solidFill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solidFill>
                          <a:schemeClr val="tx1"/>
                        </a:solidFill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Inicial</m:t>
                    </m:r>
                  </m:oMath>
                </m:oMathPara>
              </a14:m>
              <a:endParaRPr lang="es-CO" sz="100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endParaRPr>
            </a:p>
          </xdr:txBody>
        </xdr:sp>
      </mc:Choice>
      <mc:Fallback xmlns="">
        <xdr:sp macro="" textlink="">
          <xdr:nvSpPr>
            <xdr:cNvPr id="9" name="CuadroTexto 11">
              <a:extLst>
                <a:ext uri="{FF2B5EF4-FFF2-40B4-BE49-F238E27FC236}">
                  <a16:creationId xmlns:a16="http://schemas.microsoft.com/office/drawing/2014/main" id="{442369E6-79A2-4F14-B2AA-EB2E61A0A70D}"/>
                </a:ext>
              </a:extLst>
            </xdr:cNvPr>
            <xdr:cNvSpPr txBox="1"/>
          </xdr:nvSpPr>
          <xdr:spPr>
            <a:xfrm>
              <a:off x="25856767" y="4241413"/>
              <a:ext cx="4021021" cy="151359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s-MX" sz="1000" b="0" i="0">
                  <a:solidFill>
                    <a:schemeClr val="tx1"/>
                  </a:solidFill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"Compras = Costo de Ventas + Inventario Final – Inventario Inicial</a:t>
              </a:r>
              <a:r>
                <a:rPr lang="es-CO" sz="1000" b="0" i="0">
                  <a:solidFill>
                    <a:schemeClr val="tx1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"</a:t>
              </a:r>
              <a:endParaRPr lang="es-CO" sz="100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endParaRPr>
            </a:p>
          </xdr:txBody>
        </xdr:sp>
      </mc:Fallback>
    </mc:AlternateContent>
    <xdr:clientData/>
  </xdr:twoCellAnchor>
  <xdr:twoCellAnchor>
    <xdr:from>
      <xdr:col>23</xdr:col>
      <xdr:colOff>400050</xdr:colOff>
      <xdr:row>23</xdr:row>
      <xdr:rowOff>90490</xdr:rowOff>
    </xdr:from>
    <xdr:to>
      <xdr:col>29</xdr:col>
      <xdr:colOff>69916</xdr:colOff>
      <xdr:row>24</xdr:row>
      <xdr:rowOff>201832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CuadroTexto 13">
              <a:extLst>
                <a:ext uri="{FF2B5EF4-FFF2-40B4-BE49-F238E27FC236}">
                  <a16:creationId xmlns:a16="http://schemas.microsoft.com/office/drawing/2014/main" id="{CB682902-A67D-4A66-A6A5-3D99B893C472}"/>
                </a:ext>
              </a:extLst>
            </xdr:cNvPr>
            <xdr:cNvSpPr txBox="1"/>
          </xdr:nvSpPr>
          <xdr:spPr>
            <a:xfrm>
              <a:off x="25612725" y="4891090"/>
              <a:ext cx="4241866" cy="320892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D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í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as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de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Cuentas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por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Pagar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= </m:t>
                    </m:r>
                    <m:f>
                      <m:fPr>
                        <m:ctrlPr>
                          <a:rPr lang="es-MX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365</m:t>
                        </m:r>
                      </m:num>
                      <m:den>
                        <m:r>
                          <m:rPr>
                            <m:nor/>
                          </m:rPr>
                          <a:rPr lang="es-MX" sz="100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Rotaci</m:t>
                        </m:r>
                        <m:r>
                          <m:rPr>
                            <m:nor/>
                          </m:rPr>
                          <a:rPr lang="es-MX" sz="100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ó</m:t>
                        </m:r>
                        <m:r>
                          <m:rPr>
                            <m:nor/>
                          </m:rPr>
                          <a:rPr lang="es-MX" sz="100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n</m:t>
                        </m:r>
                        <m:r>
                          <m:rPr>
                            <m:nor/>
                          </m:rPr>
                          <a:rPr lang="es-MX" sz="100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MX" sz="100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de</m:t>
                        </m:r>
                        <m:r>
                          <m:rPr>
                            <m:nor/>
                          </m:rPr>
                          <a:rPr lang="es-MX" sz="100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Cuentas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por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Pagar</m:t>
                        </m:r>
                      </m:den>
                    </m:f>
                  </m:oMath>
                </m:oMathPara>
              </a14:m>
              <a:endParaRPr lang="es-CO"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endParaRPr>
            </a:p>
          </xdr:txBody>
        </xdr:sp>
      </mc:Choice>
      <mc:Fallback xmlns="">
        <xdr:sp macro="" textlink="">
          <xdr:nvSpPr>
            <xdr:cNvPr id="10" name="CuadroTexto 13">
              <a:extLst>
                <a:ext uri="{FF2B5EF4-FFF2-40B4-BE49-F238E27FC236}">
                  <a16:creationId xmlns:a16="http://schemas.microsoft.com/office/drawing/2014/main" id="{CB682902-A67D-4A66-A6A5-3D99B893C472}"/>
                </a:ext>
              </a:extLst>
            </xdr:cNvPr>
            <xdr:cNvSpPr txBox="1"/>
          </xdr:nvSpPr>
          <xdr:spPr>
            <a:xfrm>
              <a:off x="25612725" y="4891090"/>
              <a:ext cx="4241866" cy="320892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"Días de Cuentas por Pagar = " </a:t>
              </a:r>
              <a:r>
                <a:rPr lang="es-MX" sz="1000" b="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 "365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/"</a:t>
              </a:r>
              <a:r>
                <a:rPr lang="es-MX" sz="100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Rotación de </a:t>
              </a:r>
              <a:r>
                <a:rPr lang="es-MX" sz="1000" b="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Cuentas por Pagar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</a:t>
              </a:r>
              <a:endParaRPr lang="es-CO"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endParaRPr>
            </a:p>
          </xdr:txBody>
        </xdr:sp>
      </mc:Fallback>
    </mc:AlternateContent>
    <xdr:clientData/>
  </xdr:twoCellAnchor>
  <xdr:twoCellAnchor>
    <xdr:from>
      <xdr:col>23</xdr:col>
      <xdr:colOff>760048</xdr:colOff>
      <xdr:row>26</xdr:row>
      <xdr:rowOff>188070</xdr:rowOff>
    </xdr:from>
    <xdr:to>
      <xdr:col>29</xdr:col>
      <xdr:colOff>40567</xdr:colOff>
      <xdr:row>27</xdr:row>
      <xdr:rowOff>132363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CuadroTexto 1">
              <a:extLst>
                <a:ext uri="{FF2B5EF4-FFF2-40B4-BE49-F238E27FC236}">
                  <a16:creationId xmlns:a16="http://schemas.microsoft.com/office/drawing/2014/main" id="{ADA3F4E8-BD2B-49F2-AE48-4BC91931A95F}"/>
                </a:ext>
              </a:extLst>
            </xdr:cNvPr>
            <xdr:cNvSpPr txBox="1"/>
          </xdr:nvSpPr>
          <xdr:spPr>
            <a:xfrm>
              <a:off x="25972723" y="5617320"/>
              <a:ext cx="3852519" cy="153843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Ciclo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de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efectivo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=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D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í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as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de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Inventario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+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D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í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as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de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CxC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–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D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í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as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de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CxP</m:t>
                    </m:r>
                  </m:oMath>
                </m:oMathPara>
              </a14:m>
              <a:endParaRPr lang="es-CO"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endParaRPr>
            </a:p>
          </xdr:txBody>
        </xdr:sp>
      </mc:Choice>
      <mc:Fallback xmlns="">
        <xdr:sp macro="" textlink="">
          <xdr:nvSpPr>
            <xdr:cNvPr id="11" name="CuadroTexto 1">
              <a:extLst>
                <a:ext uri="{FF2B5EF4-FFF2-40B4-BE49-F238E27FC236}">
                  <a16:creationId xmlns:a16="http://schemas.microsoft.com/office/drawing/2014/main" id="{ADA3F4E8-BD2B-49F2-AE48-4BC91931A95F}"/>
                </a:ext>
              </a:extLst>
            </xdr:cNvPr>
            <xdr:cNvSpPr txBox="1"/>
          </xdr:nvSpPr>
          <xdr:spPr>
            <a:xfrm>
              <a:off x="25972723" y="5617320"/>
              <a:ext cx="3852519" cy="153843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"Ciclo de efectivo = Días de Inventario + Días de CxC – Días de CxP</a:t>
              </a:r>
              <a:r>
                <a:rPr lang="es-CO" sz="1000" b="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"</a:t>
              </a:r>
              <a:endParaRPr lang="es-CO"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endParaRPr>
            </a:p>
          </xdr:txBody>
        </xdr:sp>
      </mc:Fallback>
    </mc:AlternateContent>
    <xdr:clientData/>
  </xdr:twoCellAnchor>
  <xdr:twoCellAnchor>
    <xdr:from>
      <xdr:col>7</xdr:col>
      <xdr:colOff>619124</xdr:colOff>
      <xdr:row>81</xdr:row>
      <xdr:rowOff>104775</xdr:rowOff>
    </xdr:from>
    <xdr:to>
      <xdr:col>11</xdr:col>
      <xdr:colOff>132711</xdr:colOff>
      <xdr:row>83</xdr:row>
      <xdr:rowOff>2838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CuadroTexto 9">
              <a:extLst>
                <a:ext uri="{FF2B5EF4-FFF2-40B4-BE49-F238E27FC236}">
                  <a16:creationId xmlns:a16="http://schemas.microsoft.com/office/drawing/2014/main" id="{0E7E2095-C104-4308-A685-65C8ABE1D3D5}"/>
                </a:ext>
              </a:extLst>
            </xdr:cNvPr>
            <xdr:cNvSpPr txBox="1"/>
          </xdr:nvSpPr>
          <xdr:spPr>
            <a:xfrm>
              <a:off x="10706099" y="16354425"/>
              <a:ext cx="2618737" cy="298113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Nivel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de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endeudamiento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= </m:t>
                    </m:r>
                    <m:f>
                      <m:fPr>
                        <m:ctrlPr>
                          <a:rPr lang="es-MX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Pasivo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Total</m:t>
                        </m:r>
                      </m:num>
                      <m:den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Activo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Total</m:t>
                        </m:r>
                      </m:den>
                    </m:f>
                  </m:oMath>
                </m:oMathPara>
              </a14:m>
              <a:endParaRPr lang="es-CO"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endParaRPr>
            </a:p>
          </xdr:txBody>
        </xdr:sp>
      </mc:Choice>
      <mc:Fallback xmlns="">
        <xdr:sp macro="" textlink="">
          <xdr:nvSpPr>
            <xdr:cNvPr id="12" name="CuadroTexto 9">
              <a:extLst>
                <a:ext uri="{FF2B5EF4-FFF2-40B4-BE49-F238E27FC236}">
                  <a16:creationId xmlns:a16="http://schemas.microsoft.com/office/drawing/2014/main" id="{0E7E2095-C104-4308-A685-65C8ABE1D3D5}"/>
                </a:ext>
              </a:extLst>
            </xdr:cNvPr>
            <xdr:cNvSpPr txBox="1"/>
          </xdr:nvSpPr>
          <xdr:spPr>
            <a:xfrm>
              <a:off x="10706099" y="16354425"/>
              <a:ext cx="2618737" cy="298113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"Nivel de endeudamiento = " </a:t>
              </a:r>
              <a:r>
                <a:rPr lang="es-MX" sz="1000" b="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 "Pasivo Total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/"</a:t>
              </a:r>
              <a:r>
                <a:rPr lang="es-MX" sz="1000" b="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Activo Total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</a:t>
              </a:r>
              <a:endParaRPr lang="es-CO"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endParaRPr>
            </a:p>
          </xdr:txBody>
        </xdr:sp>
      </mc:Fallback>
    </mc:AlternateContent>
    <xdr:clientData/>
  </xdr:twoCellAnchor>
  <xdr:twoCellAnchor>
    <xdr:from>
      <xdr:col>7</xdr:col>
      <xdr:colOff>619124</xdr:colOff>
      <xdr:row>85</xdr:row>
      <xdr:rowOff>733</xdr:rowOff>
    </xdr:from>
    <xdr:to>
      <xdr:col>11</xdr:col>
      <xdr:colOff>132711</xdr:colOff>
      <xdr:row>86</xdr:row>
      <xdr:rowOff>89296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CuadroTexto 15">
              <a:extLst>
                <a:ext uri="{FF2B5EF4-FFF2-40B4-BE49-F238E27FC236}">
                  <a16:creationId xmlns:a16="http://schemas.microsoft.com/office/drawing/2014/main" id="{579BC804-AF13-4E56-ABC2-C6AC277225D0}"/>
                </a:ext>
              </a:extLst>
            </xdr:cNvPr>
            <xdr:cNvSpPr txBox="1"/>
          </xdr:nvSpPr>
          <xdr:spPr>
            <a:xfrm>
              <a:off x="10706099" y="17069533"/>
              <a:ext cx="2618737" cy="298113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Nivel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de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endeudamiento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= </m:t>
                    </m:r>
                    <m:f>
                      <m:fPr>
                        <m:ctrlPr>
                          <a:rPr lang="es-MX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Total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Deuda</m:t>
                        </m:r>
                      </m:num>
                      <m:den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Activo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Total</m:t>
                        </m:r>
                      </m:den>
                    </m:f>
                  </m:oMath>
                </m:oMathPara>
              </a14:m>
              <a:endParaRPr lang="es-CO"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endParaRPr>
            </a:p>
          </xdr:txBody>
        </xdr:sp>
      </mc:Choice>
      <mc:Fallback xmlns="">
        <xdr:sp macro="" textlink="">
          <xdr:nvSpPr>
            <xdr:cNvPr id="13" name="CuadroTexto 15">
              <a:extLst>
                <a:ext uri="{FF2B5EF4-FFF2-40B4-BE49-F238E27FC236}">
                  <a16:creationId xmlns:a16="http://schemas.microsoft.com/office/drawing/2014/main" id="{579BC804-AF13-4E56-ABC2-C6AC277225D0}"/>
                </a:ext>
              </a:extLst>
            </xdr:cNvPr>
            <xdr:cNvSpPr txBox="1"/>
          </xdr:nvSpPr>
          <xdr:spPr>
            <a:xfrm>
              <a:off x="10706099" y="17069533"/>
              <a:ext cx="2618737" cy="298113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"Nivel de endeudamiento = " </a:t>
              </a:r>
              <a:r>
                <a:rPr lang="es-MX" sz="1000" b="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 "Total Deuda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/"</a:t>
              </a:r>
              <a:r>
                <a:rPr lang="es-MX" sz="1000" b="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Activo Total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</a:t>
              </a:r>
              <a:endParaRPr lang="es-CO"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endParaRPr>
            </a:p>
          </xdr:txBody>
        </xdr:sp>
      </mc:Fallback>
    </mc:AlternateContent>
    <xdr:clientData/>
  </xdr:twoCellAnchor>
  <xdr:twoCellAnchor>
    <xdr:from>
      <xdr:col>7</xdr:col>
      <xdr:colOff>552450</xdr:colOff>
      <xdr:row>83</xdr:row>
      <xdr:rowOff>117963</xdr:rowOff>
    </xdr:from>
    <xdr:to>
      <xdr:col>13</xdr:col>
      <xdr:colOff>670331</xdr:colOff>
      <xdr:row>84</xdr:row>
      <xdr:rowOff>65187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CuadroTexto 1">
              <a:extLst>
                <a:ext uri="{FF2B5EF4-FFF2-40B4-BE49-F238E27FC236}">
                  <a16:creationId xmlns:a16="http://schemas.microsoft.com/office/drawing/2014/main" id="{D291D12B-3E31-4C08-83C5-3A20444C957A}"/>
                </a:ext>
              </a:extLst>
            </xdr:cNvPr>
            <xdr:cNvSpPr txBox="1"/>
          </xdr:nvSpPr>
          <xdr:spPr>
            <a:xfrm>
              <a:off x="10639425" y="16767663"/>
              <a:ext cx="4747031" cy="156774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es-MX" sz="100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Total</m:t>
                    </m:r>
                    <m:r>
                      <m:rPr>
                        <m:nor/>
                      </m:rPr>
                      <a:rPr lang="es-MX" sz="100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Deuda</m:t>
                    </m:r>
                    <m:r>
                      <m:rPr>
                        <m:nor/>
                      </m:rPr>
                      <a:rPr lang="es-MX" sz="100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= </m:t>
                    </m:r>
                    <m:r>
                      <m:rPr>
                        <m:nor/>
                      </m:rPr>
                      <a:rPr lang="es-MX" sz="100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pasivos</m:t>
                    </m:r>
                    <m:r>
                      <m:rPr>
                        <m:nor/>
                      </m:rPr>
                      <a:rPr lang="es-MX" sz="100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con</m:t>
                    </m:r>
                    <m:r>
                      <m:rPr>
                        <m:nor/>
                      </m:rPr>
                      <a:rPr lang="es-MX" sz="100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terceros</m:t>
                    </m:r>
                    <m:r>
                      <m:rPr>
                        <m:nor/>
                      </m:rPr>
                      <a:rPr lang="es-MX" sz="100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= </m:t>
                    </m:r>
                    <m:r>
                      <m:rPr>
                        <m:nor/>
                      </m:rPr>
                      <a:rPr lang="es-MX" sz="100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obligaciones</m:t>
                    </m:r>
                    <m:r>
                      <m:rPr>
                        <m:nor/>
                      </m:rPr>
                      <a:rPr lang="es-MX" sz="100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que</m:t>
                    </m:r>
                    <m:r>
                      <m:rPr>
                        <m:nor/>
                      </m:rPr>
                      <a:rPr lang="es-MX" sz="100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devengan</m:t>
                    </m:r>
                    <m:r>
                      <m:rPr>
                        <m:nor/>
                      </m:rPr>
                      <a:rPr lang="es-MX" sz="100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intereses</m:t>
                    </m:r>
                  </m:oMath>
                </m:oMathPara>
              </a14:m>
              <a:endParaRPr lang="es-MX"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endParaRPr>
            </a:p>
          </xdr:txBody>
        </xdr:sp>
      </mc:Choice>
      <mc:Fallback xmlns="">
        <xdr:sp macro="" textlink="">
          <xdr:nvSpPr>
            <xdr:cNvPr id="14" name="CuadroTexto 1">
              <a:extLst>
                <a:ext uri="{FF2B5EF4-FFF2-40B4-BE49-F238E27FC236}">
                  <a16:creationId xmlns:a16="http://schemas.microsoft.com/office/drawing/2014/main" id="{D291D12B-3E31-4C08-83C5-3A20444C957A}"/>
                </a:ext>
              </a:extLst>
            </xdr:cNvPr>
            <xdr:cNvSpPr txBox="1"/>
          </xdr:nvSpPr>
          <xdr:spPr>
            <a:xfrm>
              <a:off x="10639425" y="16767663"/>
              <a:ext cx="4747031" cy="156774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s-MX" sz="100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"Total Deuda = pasivos con terceros = obligaciones que devengan intereses</a:t>
              </a:r>
              <a:r>
                <a:rPr lang="es-CO" sz="100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"</a:t>
              </a:r>
              <a:endParaRPr lang="es-MX"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endParaRPr>
            </a:p>
          </xdr:txBody>
        </xdr:sp>
      </mc:Fallback>
    </mc:AlternateContent>
    <xdr:clientData/>
  </xdr:twoCellAnchor>
  <xdr:twoCellAnchor>
    <xdr:from>
      <xdr:col>7</xdr:col>
      <xdr:colOff>615461</xdr:colOff>
      <xdr:row>89</xdr:row>
      <xdr:rowOff>190500</xdr:rowOff>
    </xdr:from>
    <xdr:to>
      <xdr:col>11</xdr:col>
      <xdr:colOff>582459</xdr:colOff>
      <xdr:row>91</xdr:row>
      <xdr:rowOff>69513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CuadroTexto 9">
              <a:extLst>
                <a:ext uri="{FF2B5EF4-FFF2-40B4-BE49-F238E27FC236}">
                  <a16:creationId xmlns:a16="http://schemas.microsoft.com/office/drawing/2014/main" id="{F9B84566-8582-4CA7-AD02-F659707E87BF}"/>
                </a:ext>
              </a:extLst>
            </xdr:cNvPr>
            <xdr:cNvSpPr txBox="1"/>
          </xdr:nvSpPr>
          <xdr:spPr>
            <a:xfrm>
              <a:off x="10702436" y="18078450"/>
              <a:ext cx="3072148" cy="298113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Apalancamiento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financiero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= </m:t>
                    </m:r>
                    <m:f>
                      <m:fPr>
                        <m:ctrlPr>
                          <a:rPr lang="es-MX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Prom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. 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Total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Deuda</m:t>
                        </m:r>
                      </m:num>
                      <m:den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Prom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. 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Patrimonio</m:t>
                        </m:r>
                      </m:den>
                    </m:f>
                  </m:oMath>
                </m:oMathPara>
              </a14:m>
              <a:endParaRPr lang="es-CO"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endParaRPr>
            </a:p>
          </xdr:txBody>
        </xdr:sp>
      </mc:Choice>
      <mc:Fallback xmlns="">
        <xdr:sp macro="" textlink="">
          <xdr:nvSpPr>
            <xdr:cNvPr id="15" name="CuadroTexto 9">
              <a:extLst>
                <a:ext uri="{FF2B5EF4-FFF2-40B4-BE49-F238E27FC236}">
                  <a16:creationId xmlns:a16="http://schemas.microsoft.com/office/drawing/2014/main" id="{F9B84566-8582-4CA7-AD02-F659707E87BF}"/>
                </a:ext>
              </a:extLst>
            </xdr:cNvPr>
            <xdr:cNvSpPr txBox="1"/>
          </xdr:nvSpPr>
          <xdr:spPr>
            <a:xfrm>
              <a:off x="10702436" y="18078450"/>
              <a:ext cx="3072148" cy="298113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"Apalancamiento financiero = " </a:t>
              </a:r>
              <a:r>
                <a:rPr lang="es-MX" sz="1000" b="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 "Prom. Total Deuda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/"</a:t>
              </a:r>
              <a:r>
                <a:rPr lang="es-MX" sz="1000" b="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Prom. Patrimonio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</a:t>
              </a:r>
              <a:endParaRPr lang="es-CO"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endParaRPr>
            </a:p>
          </xdr:txBody>
        </xdr:sp>
      </mc:Fallback>
    </mc:AlternateContent>
    <xdr:clientData/>
  </xdr:twoCellAnchor>
  <xdr:twoCellAnchor>
    <xdr:from>
      <xdr:col>7</xdr:col>
      <xdr:colOff>657224</xdr:colOff>
      <xdr:row>92</xdr:row>
      <xdr:rowOff>40298</xdr:rowOff>
    </xdr:from>
    <xdr:to>
      <xdr:col>10</xdr:col>
      <xdr:colOff>627403</xdr:colOff>
      <xdr:row>93</xdr:row>
      <xdr:rowOff>200637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CuadroTexto 15">
              <a:extLst>
                <a:ext uri="{FF2B5EF4-FFF2-40B4-BE49-F238E27FC236}">
                  <a16:creationId xmlns:a16="http://schemas.microsoft.com/office/drawing/2014/main" id="{BF02D225-833B-4661-A04D-8915606A8677}"/>
                </a:ext>
              </a:extLst>
            </xdr:cNvPr>
            <xdr:cNvSpPr txBox="1"/>
          </xdr:nvSpPr>
          <xdr:spPr>
            <a:xfrm>
              <a:off x="10744199" y="18556898"/>
              <a:ext cx="2313329" cy="350839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Cobertura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de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intereses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= </m:t>
                    </m:r>
                    <m:f>
                      <m:fPr>
                        <m:ctrlPr>
                          <a:rPr lang="es-MX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EBIT</m:t>
                        </m:r>
                      </m:num>
                      <m:den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Intereses</m:t>
                        </m:r>
                      </m:den>
                    </m:f>
                  </m:oMath>
                </m:oMathPara>
              </a14:m>
              <a:endParaRPr lang="es-CO"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endParaRPr>
            </a:p>
          </xdr:txBody>
        </xdr:sp>
      </mc:Choice>
      <mc:Fallback xmlns="">
        <xdr:sp macro="" textlink="">
          <xdr:nvSpPr>
            <xdr:cNvPr id="16" name="CuadroTexto 15">
              <a:extLst>
                <a:ext uri="{FF2B5EF4-FFF2-40B4-BE49-F238E27FC236}">
                  <a16:creationId xmlns:a16="http://schemas.microsoft.com/office/drawing/2014/main" id="{BF02D225-833B-4661-A04D-8915606A8677}"/>
                </a:ext>
              </a:extLst>
            </xdr:cNvPr>
            <xdr:cNvSpPr txBox="1"/>
          </xdr:nvSpPr>
          <xdr:spPr>
            <a:xfrm>
              <a:off x="10744199" y="18556898"/>
              <a:ext cx="2313329" cy="350839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"Cobertura de intereses = " </a:t>
              </a:r>
              <a:r>
                <a:rPr lang="es-MX" sz="1000" b="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 "EBIT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/"</a:t>
              </a:r>
              <a:r>
                <a:rPr lang="es-MX" sz="1000" b="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Intereses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</a:t>
              </a:r>
              <a:endParaRPr lang="es-CO"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endParaRPr>
            </a:p>
          </xdr:txBody>
        </xdr:sp>
      </mc:Fallback>
    </mc:AlternateContent>
    <xdr:clientData/>
  </xdr:twoCellAnchor>
  <xdr:twoCellAnchor>
    <xdr:from>
      <xdr:col>7</xdr:col>
      <xdr:colOff>723900</xdr:colOff>
      <xdr:row>98</xdr:row>
      <xdr:rowOff>66675</xdr:rowOff>
    </xdr:from>
    <xdr:to>
      <xdr:col>11</xdr:col>
      <xdr:colOff>288554</xdr:colOff>
      <xdr:row>100</xdr:row>
      <xdr:rowOff>17657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CuadroTexto 9">
              <a:extLst>
                <a:ext uri="{FF2B5EF4-FFF2-40B4-BE49-F238E27FC236}">
                  <a16:creationId xmlns:a16="http://schemas.microsoft.com/office/drawing/2014/main" id="{1A6CC7CE-748A-4E30-BCD2-F687B99CCFEB}"/>
                </a:ext>
              </a:extLst>
            </xdr:cNvPr>
            <xdr:cNvSpPr txBox="1"/>
          </xdr:nvSpPr>
          <xdr:spPr>
            <a:xfrm>
              <a:off x="10810875" y="19821525"/>
              <a:ext cx="2669804" cy="351032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Impacto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de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la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carga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finaniciera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= </m:t>
                    </m:r>
                    <m:f>
                      <m:fPr>
                        <m:ctrlPr>
                          <a:rPr lang="es-MX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Intereses</m:t>
                        </m:r>
                      </m:num>
                      <m:den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Ventas</m:t>
                        </m:r>
                      </m:den>
                    </m:f>
                  </m:oMath>
                </m:oMathPara>
              </a14:m>
              <a:endParaRPr lang="es-CO"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endParaRPr>
            </a:p>
          </xdr:txBody>
        </xdr:sp>
      </mc:Choice>
      <mc:Fallback xmlns="">
        <xdr:sp macro="" textlink="">
          <xdr:nvSpPr>
            <xdr:cNvPr id="17" name="CuadroTexto 9">
              <a:extLst>
                <a:ext uri="{FF2B5EF4-FFF2-40B4-BE49-F238E27FC236}">
                  <a16:creationId xmlns:a16="http://schemas.microsoft.com/office/drawing/2014/main" id="{1A6CC7CE-748A-4E30-BCD2-F687B99CCFEB}"/>
                </a:ext>
              </a:extLst>
            </xdr:cNvPr>
            <xdr:cNvSpPr txBox="1"/>
          </xdr:nvSpPr>
          <xdr:spPr>
            <a:xfrm>
              <a:off x="10810875" y="19821525"/>
              <a:ext cx="2669804" cy="351032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"Impacto de la carga finaniciera = " </a:t>
              </a:r>
              <a:r>
                <a:rPr lang="es-MX" sz="1000" b="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 "Intereses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/"</a:t>
              </a:r>
              <a:r>
                <a:rPr lang="es-MX" sz="1000" b="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Ventas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</a:t>
              </a:r>
              <a:endParaRPr lang="es-CO"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endParaRPr>
            </a:p>
          </xdr:txBody>
        </xdr:sp>
      </mc:Fallback>
    </mc:AlternateContent>
    <xdr:clientData/>
  </xdr:twoCellAnchor>
  <xdr:twoCellAnchor>
    <xdr:from>
      <xdr:col>7</xdr:col>
      <xdr:colOff>723900</xdr:colOff>
      <xdr:row>87</xdr:row>
      <xdr:rowOff>65943</xdr:rowOff>
    </xdr:from>
    <xdr:to>
      <xdr:col>11</xdr:col>
      <xdr:colOff>421266</xdr:colOff>
      <xdr:row>88</xdr:row>
      <xdr:rowOff>157437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" name="CuadroTexto 9">
              <a:extLst>
                <a:ext uri="{FF2B5EF4-FFF2-40B4-BE49-F238E27FC236}">
                  <a16:creationId xmlns:a16="http://schemas.microsoft.com/office/drawing/2014/main" id="{0EC2CE66-5CD3-4924-A005-0ED0DCBDD154}"/>
                </a:ext>
              </a:extLst>
            </xdr:cNvPr>
            <xdr:cNvSpPr txBox="1"/>
          </xdr:nvSpPr>
          <xdr:spPr>
            <a:xfrm>
              <a:off x="10810875" y="17553843"/>
              <a:ext cx="2802516" cy="301044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Apalancamiento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financiero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= </m:t>
                    </m:r>
                    <m:f>
                      <m:fPr>
                        <m:ctrlPr>
                          <a:rPr lang="es-MX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es-MX" sz="1000" b="0" i="0" kern="1200">
                            <a:solidFill>
                              <a:schemeClr val="tx1"/>
                            </a:solidFill>
                            <a:effectLst/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Prom</m:t>
                        </m:r>
                        <m:r>
                          <m:rPr>
                            <m:nor/>
                          </m:rPr>
                          <a:rPr lang="es-MX" sz="1000" b="0" i="0" kern="1200">
                            <a:solidFill>
                              <a:schemeClr val="tx1"/>
                            </a:solidFill>
                            <a:effectLst/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. </m:t>
                        </m:r>
                        <m:r>
                          <m:rPr>
                            <m:nor/>
                          </m:rPr>
                          <a:rPr lang="es-MX" sz="1000" b="0" i="0" kern="1200">
                            <a:solidFill>
                              <a:schemeClr val="tx1"/>
                            </a:solidFill>
                            <a:effectLst/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Pasivo</m:t>
                        </m:r>
                        <m:r>
                          <m:rPr>
                            <m:nor/>
                          </m:rPr>
                          <a:rPr lang="es-MX" sz="1000" b="0" i="0" kern="1200">
                            <a:solidFill>
                              <a:schemeClr val="tx1"/>
                            </a:solidFill>
                            <a:effectLst/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MX" sz="1000" b="0" i="0" kern="1200">
                            <a:solidFill>
                              <a:schemeClr val="tx1"/>
                            </a:solidFill>
                            <a:effectLst/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Total</m:t>
                        </m:r>
                      </m:num>
                      <m:den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Prom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. 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Patrimonio</m:t>
                        </m:r>
                      </m:den>
                    </m:f>
                  </m:oMath>
                </m:oMathPara>
              </a14:m>
              <a:endParaRPr lang="es-CO"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endParaRPr>
            </a:p>
          </xdr:txBody>
        </xdr:sp>
      </mc:Choice>
      <mc:Fallback xmlns="">
        <xdr:sp macro="" textlink="">
          <xdr:nvSpPr>
            <xdr:cNvPr id="18" name="CuadroTexto 9">
              <a:extLst>
                <a:ext uri="{FF2B5EF4-FFF2-40B4-BE49-F238E27FC236}">
                  <a16:creationId xmlns:a16="http://schemas.microsoft.com/office/drawing/2014/main" id="{0EC2CE66-5CD3-4924-A005-0ED0DCBDD154}"/>
                </a:ext>
              </a:extLst>
            </xdr:cNvPr>
            <xdr:cNvSpPr txBox="1"/>
          </xdr:nvSpPr>
          <xdr:spPr>
            <a:xfrm>
              <a:off x="10810875" y="17553843"/>
              <a:ext cx="2802516" cy="301044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"Apalancamiento financiero = " </a:t>
              </a:r>
              <a:r>
                <a:rPr lang="es-MX" sz="1000" b="0" i="0" kern="1200">
                  <a:solidFill>
                    <a:schemeClr val="tx1"/>
                  </a:solidFill>
                  <a:effectLst/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 "Prom. Pasivo Total</a:t>
              </a:r>
              <a:r>
                <a:rPr lang="es-MX" sz="1000" b="0" i="0" kern="12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 /"</a:t>
              </a:r>
              <a:r>
                <a:rPr lang="es-MX" sz="1000" b="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Prom. Patrimonio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</a:t>
              </a:r>
              <a:endParaRPr lang="es-CO"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endParaRPr>
            </a:p>
          </xdr:txBody>
        </xdr:sp>
      </mc:Fallback>
    </mc:AlternateContent>
    <xdr:clientData/>
  </xdr:twoCellAnchor>
  <xdr:twoCellAnchor>
    <xdr:from>
      <xdr:col>7</xdr:col>
      <xdr:colOff>657224</xdr:colOff>
      <xdr:row>94</xdr:row>
      <xdr:rowOff>180242</xdr:rowOff>
    </xdr:from>
    <xdr:to>
      <xdr:col>10</xdr:col>
      <xdr:colOff>627403</xdr:colOff>
      <xdr:row>96</xdr:row>
      <xdr:rowOff>70951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" name="CuadroTexto 9">
              <a:extLst>
                <a:ext uri="{FF2B5EF4-FFF2-40B4-BE49-F238E27FC236}">
                  <a16:creationId xmlns:a16="http://schemas.microsoft.com/office/drawing/2014/main" id="{871EF0FA-C19F-49A6-91DC-4154A9F08B86}"/>
                </a:ext>
              </a:extLst>
            </xdr:cNvPr>
            <xdr:cNvSpPr txBox="1"/>
          </xdr:nvSpPr>
          <xdr:spPr>
            <a:xfrm>
              <a:off x="10744199" y="19096892"/>
              <a:ext cx="2313329" cy="309809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Cobertura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de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intereses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= </m:t>
                    </m:r>
                    <m:f>
                      <m:fPr>
                        <m:ctrlPr>
                          <a:rPr lang="es-MX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EBITDA</m:t>
                        </m:r>
                      </m:num>
                      <m:den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Intereses</m:t>
                        </m:r>
                      </m:den>
                    </m:f>
                  </m:oMath>
                </m:oMathPara>
              </a14:m>
              <a:endParaRPr lang="es-CO"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endParaRPr>
            </a:p>
          </xdr:txBody>
        </xdr:sp>
      </mc:Choice>
      <mc:Fallback xmlns="">
        <xdr:sp macro="" textlink="">
          <xdr:nvSpPr>
            <xdr:cNvPr id="19" name="CuadroTexto 9">
              <a:extLst>
                <a:ext uri="{FF2B5EF4-FFF2-40B4-BE49-F238E27FC236}">
                  <a16:creationId xmlns:a16="http://schemas.microsoft.com/office/drawing/2014/main" id="{871EF0FA-C19F-49A6-91DC-4154A9F08B86}"/>
                </a:ext>
              </a:extLst>
            </xdr:cNvPr>
            <xdr:cNvSpPr txBox="1"/>
          </xdr:nvSpPr>
          <xdr:spPr>
            <a:xfrm>
              <a:off x="10744199" y="19096892"/>
              <a:ext cx="2313329" cy="309809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"Cobertura de intereses = " </a:t>
              </a:r>
              <a:r>
                <a:rPr lang="es-MX" sz="1000" b="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 "EBITDA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/"</a:t>
              </a:r>
              <a:r>
                <a:rPr lang="es-MX" sz="1000" b="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Intereses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</a:t>
              </a:r>
              <a:endParaRPr lang="es-CO"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endParaRPr>
            </a:p>
          </xdr:txBody>
        </xdr:sp>
      </mc:Fallback>
    </mc:AlternateContent>
    <xdr:clientData/>
  </xdr:twoCellAnchor>
  <xdr:twoCellAnchor>
    <xdr:from>
      <xdr:col>7</xdr:col>
      <xdr:colOff>485775</xdr:colOff>
      <xdr:row>103</xdr:row>
      <xdr:rowOff>79863</xdr:rowOff>
    </xdr:from>
    <xdr:to>
      <xdr:col>10</xdr:col>
      <xdr:colOff>438149</xdr:colOff>
      <xdr:row>105</xdr:row>
      <xdr:rowOff>108359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0" name="CuadroTexto 24">
              <a:extLst>
                <a:ext uri="{FF2B5EF4-FFF2-40B4-BE49-F238E27FC236}">
                  <a16:creationId xmlns:a16="http://schemas.microsoft.com/office/drawing/2014/main" id="{FB110D84-7EFF-47E0-B14A-05C06C17A9D7}"/>
                </a:ext>
              </a:extLst>
            </xdr:cNvPr>
            <xdr:cNvSpPr txBox="1"/>
          </xdr:nvSpPr>
          <xdr:spPr>
            <a:xfrm>
              <a:off x="10572750" y="20806263"/>
              <a:ext cx="2295524" cy="409496"/>
            </a:xfrm>
            <a:prstGeom prst="rect">
              <a:avLst/>
            </a:prstGeom>
            <a:noFill/>
          </xdr:spPr>
          <xdr:txBody>
            <a:bodyPr wrap="square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ROA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= </m:t>
                    </m:r>
                    <m:f>
                      <m:fPr>
                        <m:ctrlPr>
                          <a:rPr lang="es-CO" sz="10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Utilidad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Neta</m:t>
                        </m:r>
                      </m:num>
                      <m:den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Prom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. 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Activos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Totales</m:t>
                        </m:r>
                      </m:den>
                    </m:f>
                  </m:oMath>
                </m:oMathPara>
              </a14:m>
              <a:endParaRPr lang="es-CO" sz="1000"/>
            </a:p>
          </xdr:txBody>
        </xdr:sp>
      </mc:Choice>
      <mc:Fallback xmlns="">
        <xdr:sp macro="" textlink="">
          <xdr:nvSpPr>
            <xdr:cNvPr id="20" name="CuadroTexto 24">
              <a:extLst>
                <a:ext uri="{FF2B5EF4-FFF2-40B4-BE49-F238E27FC236}">
                  <a16:creationId xmlns:a16="http://schemas.microsoft.com/office/drawing/2014/main" id="{FB110D84-7EFF-47E0-B14A-05C06C17A9D7}"/>
                </a:ext>
              </a:extLst>
            </xdr:cNvPr>
            <xdr:cNvSpPr txBox="1"/>
          </xdr:nvSpPr>
          <xdr:spPr>
            <a:xfrm>
              <a:off x="10572750" y="20806263"/>
              <a:ext cx="2295524" cy="409496"/>
            </a:xfrm>
            <a:prstGeom prst="rect">
              <a:avLst/>
            </a:prstGeom>
            <a:noFill/>
          </xdr:spPr>
          <xdr:txBody>
            <a:bodyPr wrap="square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"ROA = </a:t>
              </a:r>
              <a:r>
                <a:rPr lang="es-CO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</a:t>
              </a:r>
              <a:r>
                <a:rPr lang="es-MX" sz="1000" b="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 "Utilidad Neta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</a:t>
              </a:r>
              <a:r>
                <a:rPr lang="es-CO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/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</a:t>
              </a:r>
              <a:r>
                <a:rPr lang="es-MX" sz="1000" b="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Prom. Activos Totales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</a:t>
              </a:r>
              <a:endParaRPr lang="es-CO" sz="1000"/>
            </a:p>
          </xdr:txBody>
        </xdr:sp>
      </mc:Fallback>
    </mc:AlternateContent>
    <xdr:clientData/>
  </xdr:twoCellAnchor>
  <xdr:twoCellAnchor>
    <xdr:from>
      <xdr:col>7</xdr:col>
      <xdr:colOff>752473</xdr:colOff>
      <xdr:row>100</xdr:row>
      <xdr:rowOff>152400</xdr:rowOff>
    </xdr:from>
    <xdr:to>
      <xdr:col>11</xdr:col>
      <xdr:colOff>200024</xdr:colOff>
      <xdr:row>102</xdr:row>
      <xdr:rowOff>176664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1" name="CuadroTexto 26">
              <a:extLst>
                <a:ext uri="{FF2B5EF4-FFF2-40B4-BE49-F238E27FC236}">
                  <a16:creationId xmlns:a16="http://schemas.microsoft.com/office/drawing/2014/main" id="{7A86EF41-D830-4ECB-BFB5-B7102747A704}"/>
                </a:ext>
              </a:extLst>
            </xdr:cNvPr>
            <xdr:cNvSpPr txBox="1"/>
          </xdr:nvSpPr>
          <xdr:spPr>
            <a:xfrm>
              <a:off x="10839448" y="20307300"/>
              <a:ext cx="2552701" cy="405264"/>
            </a:xfrm>
            <a:prstGeom prst="rect">
              <a:avLst/>
            </a:prstGeom>
            <a:noFill/>
          </xdr:spPr>
          <xdr:txBody>
            <a:bodyPr wrap="square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ROA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Operacional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= </m:t>
                    </m:r>
                    <m:f>
                      <m:fPr>
                        <m:ctrlPr>
                          <a:rPr lang="es-CO" sz="10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es-MX" sz="100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EBIT</m:t>
                        </m:r>
                      </m:num>
                      <m:den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Prom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. 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Activos</m:t>
                        </m:r>
                        <m:r>
                          <m:rPr>
                            <m:nor/>
                          </m:rPr>
                          <a:rPr lang="es-MX" sz="100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MX" sz="100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Totales</m:t>
                        </m:r>
                      </m:den>
                    </m:f>
                  </m:oMath>
                </m:oMathPara>
              </a14:m>
              <a:endParaRPr lang="es-CO" sz="1000"/>
            </a:p>
          </xdr:txBody>
        </xdr:sp>
      </mc:Choice>
      <mc:Fallback xmlns="">
        <xdr:sp macro="" textlink="">
          <xdr:nvSpPr>
            <xdr:cNvPr id="21" name="CuadroTexto 26">
              <a:extLst>
                <a:ext uri="{FF2B5EF4-FFF2-40B4-BE49-F238E27FC236}">
                  <a16:creationId xmlns:a16="http://schemas.microsoft.com/office/drawing/2014/main" id="{7A86EF41-D830-4ECB-BFB5-B7102747A704}"/>
                </a:ext>
              </a:extLst>
            </xdr:cNvPr>
            <xdr:cNvSpPr txBox="1"/>
          </xdr:nvSpPr>
          <xdr:spPr>
            <a:xfrm>
              <a:off x="10839448" y="20307300"/>
              <a:ext cx="2552701" cy="405264"/>
            </a:xfrm>
            <a:prstGeom prst="rect">
              <a:avLst/>
            </a:prstGeom>
            <a:noFill/>
          </xdr:spPr>
          <xdr:txBody>
            <a:bodyPr wrap="square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"ROA Operacional = </a:t>
              </a:r>
              <a:r>
                <a:rPr lang="es-CO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</a:t>
              </a:r>
              <a:r>
                <a:rPr lang="es-MX" sz="100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 "EBIT</a:t>
              </a:r>
              <a:r>
                <a:rPr lang="es-MX" sz="100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</a:t>
              </a:r>
              <a:r>
                <a:rPr lang="es-CO" sz="100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/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</a:t>
              </a:r>
              <a:r>
                <a:rPr lang="es-MX" sz="1000" b="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Prom. Activos</a:t>
              </a:r>
              <a:r>
                <a:rPr lang="es-MX" sz="100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 Totales</a:t>
              </a:r>
              <a:r>
                <a:rPr lang="es-MX" sz="100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</a:t>
              </a:r>
              <a:endParaRPr lang="es-CO" sz="1000"/>
            </a:p>
          </xdr:txBody>
        </xdr:sp>
      </mc:Fallback>
    </mc:AlternateContent>
    <xdr:clientData/>
  </xdr:twoCellAnchor>
  <xdr:twoCellAnchor>
    <xdr:from>
      <xdr:col>7</xdr:col>
      <xdr:colOff>647700</xdr:colOff>
      <xdr:row>106</xdr:row>
      <xdr:rowOff>76201</xdr:rowOff>
    </xdr:from>
    <xdr:to>
      <xdr:col>9</xdr:col>
      <xdr:colOff>695325</xdr:colOff>
      <xdr:row>109</xdr:row>
      <xdr:rowOff>95251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2" name="CuadroTexto 25">
              <a:extLst>
                <a:ext uri="{FF2B5EF4-FFF2-40B4-BE49-F238E27FC236}">
                  <a16:creationId xmlns:a16="http://schemas.microsoft.com/office/drawing/2014/main" id="{9BE97283-2C81-4C1C-9CB8-F1C0025FF79F}"/>
                </a:ext>
              </a:extLst>
            </xdr:cNvPr>
            <xdr:cNvSpPr txBox="1"/>
          </xdr:nvSpPr>
          <xdr:spPr>
            <a:xfrm>
              <a:off x="10734675" y="21374101"/>
              <a:ext cx="1628775" cy="590550"/>
            </a:xfrm>
            <a:prstGeom prst="rect">
              <a:avLst/>
            </a:prstGeom>
            <a:noFill/>
          </xdr:spPr>
          <xdr:txBody>
            <a:bodyPr wrap="square">
              <a:no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ROE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=</m:t>
                    </m:r>
                    <m:f>
                      <m:fPr>
                        <m:ctrlPr>
                          <a:rPr lang="es-CO" sz="10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es-MX" sz="100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Utilidad</m:t>
                        </m:r>
                        <m:r>
                          <m:rPr>
                            <m:nor/>
                          </m:rPr>
                          <a:rPr lang="es-MX" sz="100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MX" sz="100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Neta</m:t>
                        </m:r>
                      </m:num>
                      <m:den>
                        <m:r>
                          <m:rPr>
                            <m:nor/>
                          </m:rPr>
                          <a:rPr lang="es-MX" sz="100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P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rom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. 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Patrimonio</m:t>
                        </m:r>
                      </m:den>
                    </m:f>
                  </m:oMath>
                </m:oMathPara>
              </a14:m>
              <a:endParaRPr lang="es-CO" sz="1000"/>
            </a:p>
          </xdr:txBody>
        </xdr:sp>
      </mc:Choice>
      <mc:Fallback xmlns="">
        <xdr:sp macro="" textlink="">
          <xdr:nvSpPr>
            <xdr:cNvPr id="22" name="CuadroTexto 25">
              <a:extLst>
                <a:ext uri="{FF2B5EF4-FFF2-40B4-BE49-F238E27FC236}">
                  <a16:creationId xmlns:a16="http://schemas.microsoft.com/office/drawing/2014/main" id="{9BE97283-2C81-4C1C-9CB8-F1C0025FF79F}"/>
                </a:ext>
              </a:extLst>
            </xdr:cNvPr>
            <xdr:cNvSpPr txBox="1"/>
          </xdr:nvSpPr>
          <xdr:spPr>
            <a:xfrm>
              <a:off x="10734675" y="21374101"/>
              <a:ext cx="1628775" cy="590550"/>
            </a:xfrm>
            <a:prstGeom prst="rect">
              <a:avLst/>
            </a:prstGeom>
            <a:noFill/>
          </xdr:spPr>
          <xdr:txBody>
            <a:bodyPr wrap="square">
              <a:no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"ROE =</a:t>
              </a:r>
              <a:r>
                <a:rPr lang="es-CO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</a:t>
              </a:r>
              <a:r>
                <a:rPr lang="es-MX" sz="100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 "Utilidad Neta</a:t>
              </a:r>
              <a:r>
                <a:rPr lang="es-MX" sz="100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</a:t>
              </a:r>
              <a:r>
                <a:rPr lang="es-CO" sz="100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/</a:t>
              </a:r>
              <a:r>
                <a:rPr lang="es-MX" sz="100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</a:t>
              </a:r>
              <a:r>
                <a:rPr lang="es-MX" sz="100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P</a:t>
              </a:r>
              <a:r>
                <a:rPr lang="es-MX" sz="1000" b="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rom. Patrimonio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</a:t>
              </a:r>
              <a:endParaRPr lang="es-CO" sz="1000"/>
            </a:p>
          </xdr:txBody>
        </xdr:sp>
      </mc:Fallback>
    </mc:AlternateContent>
    <xdr:clientData/>
  </xdr:twoCellAnchor>
  <xdr:twoCellAnchor>
    <xdr:from>
      <xdr:col>8</xdr:col>
      <xdr:colOff>9525</xdr:colOff>
      <xdr:row>109</xdr:row>
      <xdr:rowOff>161925</xdr:rowOff>
    </xdr:from>
    <xdr:to>
      <xdr:col>14</xdr:col>
      <xdr:colOff>504825</xdr:colOff>
      <xdr:row>111</xdr:row>
      <xdr:rowOff>79038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" name="CuadroTexto 19">
              <a:extLst>
                <a:ext uri="{FF2B5EF4-FFF2-40B4-BE49-F238E27FC236}">
                  <a16:creationId xmlns:a16="http://schemas.microsoft.com/office/drawing/2014/main" id="{B8B2F17D-4EB2-4F05-A603-8B2ECB3D0FA8}"/>
                </a:ext>
              </a:extLst>
            </xdr:cNvPr>
            <xdr:cNvSpPr txBox="1"/>
          </xdr:nvSpPr>
          <xdr:spPr>
            <a:xfrm>
              <a:off x="10858500" y="22031325"/>
              <a:ext cx="5124450" cy="298113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ROE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 = </m:t>
                    </m:r>
                    <m:f>
                      <m:fPr>
                        <m:ctrlPr>
                          <a:rPr lang="es-MX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es-MX" sz="1000" b="0" i="0">
                            <a:solidFill>
                              <a:srgbClr val="14085C"/>
                            </a:solidFill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Utilidad</m:t>
                        </m:r>
                        <m:r>
                          <m:rPr>
                            <m:nor/>
                          </m:rPr>
                          <a:rPr lang="es-MX" sz="1000" b="0" i="0">
                            <a:solidFill>
                              <a:srgbClr val="14085C"/>
                            </a:solidFill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MX" sz="1000" b="0" i="0">
                            <a:solidFill>
                              <a:srgbClr val="14085C"/>
                            </a:solidFill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Neta</m:t>
                        </m:r>
                      </m:num>
                      <m:den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Ventas</m:t>
                        </m:r>
                      </m:den>
                    </m:f>
                    <m:r>
                      <m:rPr>
                        <m:nor/>
                      </m:rPr>
                      <a:rPr lang="es-MX" sz="1000" b="0" i="0">
                        <a:latin typeface="Cambria Math" panose="02040503050406030204" pitchFamily="18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× </m:t>
                    </m:r>
                    <m:f>
                      <m:fPr>
                        <m:ctrlPr>
                          <a:rPr lang="es-MX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Ventas</m:t>
                        </m:r>
                      </m:num>
                      <m:den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Prom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. 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Activos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Totales</m:t>
                        </m:r>
                      </m:den>
                    </m:f>
                    <m:r>
                      <m:rPr>
                        <m:nor/>
                      </m:rPr>
                      <a:rPr lang="es-MX" sz="1000" b="0" i="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×</m:t>
                    </m:r>
                    <m:f>
                      <m:fPr>
                        <m:ctrlPr>
                          <a:rPr lang="es-MX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Prom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. 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Activos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Totales</m:t>
                        </m:r>
                      </m:num>
                      <m:den>
                        <m:r>
                          <m:rPr>
                            <m:nor/>
                          </m:rPr>
                          <a:rPr lang="es-MX" sz="1000" b="0" i="0">
                            <a:solidFill>
                              <a:srgbClr val="14085C"/>
                            </a:solidFill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Prom</m:t>
                        </m:r>
                        <m:r>
                          <m:rPr>
                            <m:nor/>
                          </m:rPr>
                          <a:rPr lang="es-MX" sz="1000" b="0" i="0">
                            <a:solidFill>
                              <a:srgbClr val="14085C"/>
                            </a:solidFill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. </m:t>
                        </m:r>
                        <m:r>
                          <m:rPr>
                            <m:nor/>
                          </m:rPr>
                          <a:rPr lang="es-MX" sz="1000" b="0" i="0">
                            <a:solidFill>
                              <a:srgbClr val="14085C"/>
                            </a:solidFill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Patrimonio</m:t>
                        </m:r>
                      </m:den>
                    </m:f>
                    <m:r>
                      <m:rPr>
                        <m:nor/>
                      </m:rPr>
                      <a:rPr lang="es-MX" sz="1000" b="0" i="0">
                        <a:latin typeface="Tahoma" panose="020B0604030504040204" pitchFamily="34" charset="0"/>
                        <a:ea typeface="Tahoma" panose="020B0604030504040204" pitchFamily="34" charset="0"/>
                        <a:cs typeface="Tahoma" panose="020B0604030504040204" pitchFamily="34" charset="0"/>
                      </a:rPr>
                      <m:t>=</m:t>
                    </m:r>
                    <m:f>
                      <m:fPr>
                        <m:ctrlPr>
                          <a:rPr lang="es-MX" sz="10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es-MX" sz="100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Utilidad</m:t>
                        </m:r>
                        <m:r>
                          <m:rPr>
                            <m:nor/>
                          </m:rPr>
                          <a:rPr lang="es-MX" sz="100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s-MX" sz="100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Neta</m:t>
                        </m:r>
                      </m:num>
                      <m:den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Prom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. </m:t>
                        </m:r>
                        <m:r>
                          <m:rPr>
                            <m:nor/>
                          </m:rPr>
                          <a:rPr lang="es-MX" sz="1000" b="0" i="0">
                            <a:latin typeface="Tahoma" panose="020B0604030504040204" pitchFamily="34" charset="0"/>
                            <a:ea typeface="Tahoma" panose="020B0604030504040204" pitchFamily="34" charset="0"/>
                            <a:cs typeface="Tahoma" panose="020B0604030504040204" pitchFamily="34" charset="0"/>
                          </a:rPr>
                          <m:t>Patrimonio</m:t>
                        </m:r>
                      </m:den>
                    </m:f>
                  </m:oMath>
                </m:oMathPara>
              </a14:m>
              <a:endParaRPr lang="es-CO"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endParaRPr>
            </a:p>
          </xdr:txBody>
        </xdr:sp>
      </mc:Choice>
      <mc:Fallback xmlns="">
        <xdr:sp macro="" textlink="">
          <xdr:nvSpPr>
            <xdr:cNvPr id="23" name="CuadroTexto 19">
              <a:extLst>
                <a:ext uri="{FF2B5EF4-FFF2-40B4-BE49-F238E27FC236}">
                  <a16:creationId xmlns:a16="http://schemas.microsoft.com/office/drawing/2014/main" id="{B8B2F17D-4EB2-4F05-A603-8B2ECB3D0FA8}"/>
                </a:ext>
              </a:extLst>
            </xdr:cNvPr>
            <xdr:cNvSpPr txBox="1"/>
          </xdr:nvSpPr>
          <xdr:spPr>
            <a:xfrm>
              <a:off x="10858500" y="22031325"/>
              <a:ext cx="5124450" cy="298113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"ROE = " </a:t>
              </a:r>
              <a:r>
                <a:rPr lang="es-MX" sz="1000" b="0" i="0">
                  <a:solidFill>
                    <a:srgbClr val="14085C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 "Utilidad Neta</a:t>
              </a:r>
              <a:r>
                <a:rPr lang="es-MX" sz="1000" b="0" i="0">
                  <a:solidFill>
                    <a:srgbClr val="14085C"/>
                  </a:solidFill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/"</a:t>
              </a:r>
              <a:r>
                <a:rPr lang="es-MX" sz="1000" b="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Ventas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 "</a:t>
              </a:r>
              <a:r>
                <a:rPr lang="es-MX" sz="1000" b="0" i="0">
                  <a:latin typeface="Cambria Math" panose="02040503050406030204" pitchFamily="18" charset="0"/>
                </a:rPr>
                <a:t> 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× </a:t>
              </a:r>
              <a:r>
                <a:rPr lang="es-MX" sz="1000" b="0" i="0">
                  <a:latin typeface="Cambria Math" panose="02040503050406030204" pitchFamily="18" charset="0"/>
                  <a:ea typeface="Cambria Math" panose="02040503050406030204" pitchFamily="18" charset="0"/>
                  <a:cs typeface="Tahoma" panose="020B0604030504040204" pitchFamily="34" charset="0"/>
                </a:rPr>
                <a:t>" </a:t>
              </a:r>
              <a:r>
                <a:rPr lang="es-MX" sz="1000" b="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 "Ventas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</a:t>
              </a:r>
              <a:r>
                <a:rPr lang="es-MX" sz="1000" b="0" i="0">
                  <a:latin typeface="Cambria Math" panose="02040503050406030204" pitchFamily="18" charset="0"/>
                  <a:ea typeface="Cambria Math" panose="02040503050406030204" pitchFamily="18" charset="0"/>
                  <a:cs typeface="Tahoma" panose="020B0604030504040204" pitchFamily="34" charset="0"/>
                </a:rPr>
                <a:t>/"</a:t>
              </a:r>
              <a:r>
                <a:rPr lang="es-MX" sz="1000" b="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Prom. Activos Totales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</a:t>
              </a:r>
              <a:r>
                <a:rPr lang="es-MX" sz="1000" b="0" i="0">
                  <a:latin typeface="Cambria Math" panose="02040503050406030204" pitchFamily="18" charset="0"/>
                  <a:ea typeface="Cambria Math" panose="02040503050406030204" pitchFamily="18" charset="0"/>
                  <a:cs typeface="Tahoma" panose="020B0604030504040204" pitchFamily="34" charset="0"/>
                </a:rPr>
                <a:t> "</a:t>
              </a:r>
              <a:r>
                <a:rPr lang="es-MX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×</a:t>
              </a:r>
              <a:r>
                <a:rPr lang="es-MX" sz="1000" b="0" i="0">
                  <a:latin typeface="Cambria Math" panose="02040503050406030204" pitchFamily="18" charset="0"/>
                  <a:ea typeface="Cambria Math" panose="02040503050406030204" pitchFamily="18" charset="0"/>
                  <a:cs typeface="Tahoma" panose="020B0604030504040204" pitchFamily="34" charset="0"/>
                </a:rPr>
                <a:t>" </a:t>
              </a:r>
              <a:r>
                <a:rPr lang="es-MX" sz="1000" b="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 "Prom. Activos Totales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</a:t>
              </a:r>
              <a:r>
                <a:rPr lang="es-MX" sz="1000" b="0" i="0">
                  <a:latin typeface="Cambria Math" panose="02040503050406030204" pitchFamily="18" charset="0"/>
                  <a:ea typeface="Cambria Math" panose="02040503050406030204" pitchFamily="18" charset="0"/>
                  <a:cs typeface="Tahoma" panose="020B0604030504040204" pitchFamily="34" charset="0"/>
                </a:rPr>
                <a:t>/</a:t>
              </a:r>
              <a:r>
                <a:rPr lang="es-MX" sz="1000" b="0" i="0">
                  <a:solidFill>
                    <a:srgbClr val="14085C"/>
                  </a:solidFill>
                  <a:latin typeface="Cambria Math" panose="02040503050406030204" pitchFamily="18" charset="0"/>
                  <a:ea typeface="Cambria Math" panose="02040503050406030204" pitchFamily="18" charset="0"/>
                  <a:cs typeface="Tahoma" panose="020B0604030504040204" pitchFamily="34" charset="0"/>
                </a:rPr>
                <a:t>"</a:t>
              </a:r>
              <a:r>
                <a:rPr lang="es-MX" sz="1000" b="0" i="0">
                  <a:solidFill>
                    <a:srgbClr val="14085C"/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Prom. Patrimonio</a:t>
              </a:r>
              <a:r>
                <a:rPr lang="es-MX" sz="1000" b="0" i="0">
                  <a:solidFill>
                    <a:srgbClr val="14085C"/>
                  </a:solidFill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 "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=" </a:t>
              </a:r>
              <a:r>
                <a:rPr lang="es-MX" sz="100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 "Utilidad Neta</a:t>
              </a:r>
              <a:r>
                <a:rPr lang="es-MX" sz="100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/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</a:t>
              </a:r>
              <a:r>
                <a:rPr lang="es-MX" sz="1000" b="0" i="0"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rPr>
                <a:t>Prom. Patrimonio</a:t>
              </a:r>
              <a:r>
                <a:rPr lang="es-MX" sz="1000" b="0" i="0">
                  <a:latin typeface="Cambria Math" panose="02040503050406030204" pitchFamily="18" charset="0"/>
                  <a:ea typeface="Tahoma" panose="020B0604030504040204" pitchFamily="34" charset="0"/>
                  <a:cs typeface="Tahoma" panose="020B0604030504040204" pitchFamily="34" charset="0"/>
                </a:rPr>
                <a:t>" </a:t>
              </a:r>
              <a:endParaRPr lang="es-CO"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endParaRP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96B5A-9226-4D8E-8FF1-1C68A4C34D54}">
  <dimension ref="A1:W100"/>
  <sheetViews>
    <sheetView tabSelected="1" workbookViewId="0"/>
  </sheetViews>
  <sheetFormatPr baseColWidth="10" defaultRowHeight="15" x14ac:dyDescent="0.25"/>
  <cols>
    <col min="1" max="1" width="44.140625" customWidth="1"/>
    <col min="2" max="7" width="17.85546875" bestFit="1" customWidth="1"/>
    <col min="9" max="9" width="12.28515625" bestFit="1" customWidth="1"/>
    <col min="16" max="16" width="26.5703125" customWidth="1"/>
    <col min="17" max="17" width="15.140625" bestFit="1" customWidth="1"/>
    <col min="18" max="19" width="15.85546875" bestFit="1" customWidth="1"/>
    <col min="20" max="22" width="16.5703125" bestFit="1" customWidth="1"/>
  </cols>
  <sheetData>
    <row r="1" spans="1:23" ht="16.5" x14ac:dyDescent="0.25">
      <c r="A1" s="2" t="s">
        <v>0</v>
      </c>
    </row>
    <row r="2" spans="1:23" ht="16.5" x14ac:dyDescent="0.25">
      <c r="A2" s="2" t="s">
        <v>1</v>
      </c>
    </row>
    <row r="3" spans="1:23" ht="16.5" x14ac:dyDescent="0.25">
      <c r="A3" s="2" t="s">
        <v>11</v>
      </c>
    </row>
    <row r="4" spans="1:23" x14ac:dyDescent="0.25">
      <c r="A4" s="1"/>
    </row>
    <row r="5" spans="1:23" ht="16.5" x14ac:dyDescent="0.25">
      <c r="A5" s="1"/>
      <c r="I5" s="31" t="s">
        <v>48</v>
      </c>
      <c r="J5" s="32"/>
      <c r="K5" s="32"/>
      <c r="L5" s="32"/>
      <c r="M5" s="32"/>
      <c r="P5" s="11"/>
      <c r="Q5" s="4">
        <v>2018</v>
      </c>
      <c r="R5" s="4">
        <v>2019</v>
      </c>
      <c r="S5" s="4">
        <v>2020</v>
      </c>
      <c r="T5" s="4">
        <v>2021</v>
      </c>
      <c r="U5" s="4">
        <v>2022</v>
      </c>
      <c r="V5" s="4">
        <v>2023</v>
      </c>
      <c r="W5" s="11"/>
    </row>
    <row r="6" spans="1:23" ht="16.5" x14ac:dyDescent="0.25">
      <c r="A6" s="3"/>
      <c r="B6" s="4">
        <v>2018</v>
      </c>
      <c r="C6" s="4">
        <v>2019</v>
      </c>
      <c r="D6" s="4">
        <v>2020</v>
      </c>
      <c r="E6" s="4">
        <v>2021</v>
      </c>
      <c r="F6" s="4">
        <v>2022</v>
      </c>
      <c r="G6" s="4">
        <v>2023</v>
      </c>
      <c r="H6" s="4" t="s">
        <v>47</v>
      </c>
      <c r="I6" s="4">
        <v>2019</v>
      </c>
      <c r="J6" s="4">
        <v>2020</v>
      </c>
      <c r="K6" s="4">
        <v>2021</v>
      </c>
      <c r="L6" s="4">
        <v>2022</v>
      </c>
      <c r="M6" s="4">
        <v>2023</v>
      </c>
      <c r="N6" s="4" t="s">
        <v>49</v>
      </c>
      <c r="P6" s="3" t="s">
        <v>62</v>
      </c>
      <c r="R6" s="5">
        <f>+AVERAGE(B18:C18)</f>
        <v>186648471</v>
      </c>
      <c r="S6" s="5">
        <f t="shared" ref="S6:V6" si="0">+AVERAGE(C18:D18)</f>
        <v>275481901.5</v>
      </c>
      <c r="T6" s="5">
        <f t="shared" si="0"/>
        <v>326085270.5</v>
      </c>
      <c r="U6" s="5">
        <f t="shared" si="0"/>
        <v>394458281</v>
      </c>
      <c r="V6" s="5">
        <f t="shared" si="0"/>
        <v>470274111</v>
      </c>
      <c r="W6" s="11"/>
    </row>
    <row r="7" spans="1:23" ht="16.5" x14ac:dyDescent="0.25">
      <c r="A7" s="3" t="s">
        <v>12</v>
      </c>
      <c r="B7" s="5">
        <v>14128122</v>
      </c>
      <c r="C7" s="5">
        <v>10499447</v>
      </c>
      <c r="D7" s="5">
        <v>8091103</v>
      </c>
      <c r="E7" s="5">
        <v>9735095</v>
      </c>
      <c r="F7" s="5">
        <v>15445195</v>
      </c>
      <c r="G7" s="5">
        <v>31947912</v>
      </c>
      <c r="H7" s="7">
        <f>+G7/$G$18</f>
        <v>6.1031162343637015E-2</v>
      </c>
      <c r="I7" s="7">
        <f>+C7/B7-1</f>
        <v>-0.25684057654655024</v>
      </c>
      <c r="J7" s="7">
        <f t="shared" ref="J7:M7" si="1">+D7/C7-1</f>
        <v>-0.22937817582202191</v>
      </c>
      <c r="K7" s="7">
        <f t="shared" si="1"/>
        <v>0.20318515287717887</v>
      </c>
      <c r="L7" s="7">
        <f t="shared" si="1"/>
        <v>0.58654794842782731</v>
      </c>
      <c r="M7" s="7">
        <f t="shared" si="1"/>
        <v>1.068469320070093</v>
      </c>
      <c r="N7" s="7">
        <f>+AVERAGE(I7:M7)</f>
        <v>0.27439673380130541</v>
      </c>
      <c r="P7" s="12" t="s">
        <v>63</v>
      </c>
      <c r="R7" s="13">
        <f>+C40/R6</f>
        <v>2.1995806919843455</v>
      </c>
      <c r="S7" s="13">
        <f t="shared" ref="S7:V7" si="2">+D40/S6</f>
        <v>1.289136556943651</v>
      </c>
      <c r="T7" s="13">
        <f t="shared" si="2"/>
        <v>1.6162951739336537</v>
      </c>
      <c r="U7" s="13">
        <f t="shared" si="2"/>
        <v>1.7950902949861003</v>
      </c>
      <c r="V7" s="13">
        <f t="shared" si="2"/>
        <v>1.7975221327886366</v>
      </c>
      <c r="W7" s="12" t="s">
        <v>64</v>
      </c>
    </row>
    <row r="8" spans="1:23" ht="16.5" x14ac:dyDescent="0.25">
      <c r="A8" s="3" t="s">
        <v>13</v>
      </c>
      <c r="B8" s="5">
        <v>8807347</v>
      </c>
      <c r="C8" s="5">
        <v>13207082</v>
      </c>
      <c r="D8" s="5">
        <v>11275799</v>
      </c>
      <c r="E8" s="5">
        <v>19812513</v>
      </c>
      <c r="F8" s="5">
        <v>25753691</v>
      </c>
      <c r="G8" s="5">
        <v>22410825</v>
      </c>
      <c r="H8" s="7">
        <f t="shared" ref="H8:H36" si="3">+G8/$G$18</f>
        <v>4.2812146810403101E-2</v>
      </c>
      <c r="I8" s="7">
        <f t="shared" ref="I8:I36" si="4">+C8/B8-1</f>
        <v>0.49955281652920003</v>
      </c>
      <c r="J8" s="7">
        <f t="shared" ref="J8:J36" si="5">+D8/C8-1</f>
        <v>-0.14623086310814148</v>
      </c>
      <c r="K8" s="7">
        <f t="shared" ref="K8:K36" si="6">+E8/D8-1</f>
        <v>0.75708284619121002</v>
      </c>
      <c r="L8" s="7">
        <f t="shared" ref="L8:L36" si="7">+F8/E8-1</f>
        <v>0.29986998620518257</v>
      </c>
      <c r="M8" s="7">
        <f t="shared" ref="M8:M36" si="8">+G8/F8-1</f>
        <v>-0.12980143312273185</v>
      </c>
      <c r="N8" s="7">
        <f t="shared" ref="N8:N36" si="9">+AVERAGE(I8:M8)</f>
        <v>0.25609467053894386</v>
      </c>
      <c r="P8" s="11"/>
      <c r="W8" s="11"/>
    </row>
    <row r="9" spans="1:23" ht="16.5" x14ac:dyDescent="0.25">
      <c r="A9" s="3" t="s">
        <v>14</v>
      </c>
      <c r="B9" s="5">
        <v>10547251</v>
      </c>
      <c r="C9" s="5">
        <v>8780329</v>
      </c>
      <c r="D9" s="5">
        <v>10734022</v>
      </c>
      <c r="E9" s="5">
        <v>17071737</v>
      </c>
      <c r="F9" s="5">
        <v>21034993</v>
      </c>
      <c r="G9" s="5">
        <v>19214021</v>
      </c>
      <c r="H9" s="7">
        <f t="shared" si="3"/>
        <v>3.6705185457035529E-2</v>
      </c>
      <c r="I9" s="7">
        <f t="shared" si="4"/>
        <v>-0.16752440991496265</v>
      </c>
      <c r="J9" s="7">
        <f t="shared" si="5"/>
        <v>0.22250794930349427</v>
      </c>
      <c r="K9" s="7">
        <f t="shared" si="6"/>
        <v>0.59043245858821614</v>
      </c>
      <c r="L9" s="7">
        <f t="shared" si="7"/>
        <v>0.23215306093340127</v>
      </c>
      <c r="M9" s="7">
        <f t="shared" si="8"/>
        <v>-8.6568700070401738E-2</v>
      </c>
      <c r="N9" s="7">
        <f t="shared" si="9"/>
        <v>0.15820007176794945</v>
      </c>
      <c r="P9" s="3" t="s">
        <v>65</v>
      </c>
      <c r="Q9" s="5">
        <f>+B13+B14</f>
        <v>50252703</v>
      </c>
      <c r="R9" s="5">
        <f t="shared" ref="R9:V9" si="10">+C13+C14</f>
        <v>179372496</v>
      </c>
      <c r="S9" s="5">
        <f t="shared" si="10"/>
        <v>180314345</v>
      </c>
      <c r="T9" s="5">
        <f t="shared" si="10"/>
        <v>190701441</v>
      </c>
      <c r="U9" s="5">
        <f t="shared" si="10"/>
        <v>202403456</v>
      </c>
      <c r="V9" s="5">
        <f t="shared" si="10"/>
        <v>244067187</v>
      </c>
      <c r="W9" s="11"/>
    </row>
    <row r="10" spans="1:23" ht="16.5" x14ac:dyDescent="0.25">
      <c r="A10" s="3" t="s">
        <v>15</v>
      </c>
      <c r="B10" s="5">
        <v>6793812</v>
      </c>
      <c r="C10" s="5">
        <v>8104918</v>
      </c>
      <c r="D10" s="5">
        <v>7191741</v>
      </c>
      <c r="E10" s="5">
        <v>10585847</v>
      </c>
      <c r="F10" s="5">
        <v>15714132</v>
      </c>
      <c r="G10" s="5">
        <v>22255275</v>
      </c>
      <c r="H10" s="7">
        <f t="shared" si="3"/>
        <v>4.2514994454951743E-2</v>
      </c>
      <c r="I10" s="7">
        <f t="shared" si="4"/>
        <v>0.19298532252585154</v>
      </c>
      <c r="J10" s="7">
        <f t="shared" si="5"/>
        <v>-0.11266949276969862</v>
      </c>
      <c r="K10" s="7">
        <f t="shared" si="6"/>
        <v>0.471944971321965</v>
      </c>
      <c r="L10" s="7">
        <f t="shared" si="7"/>
        <v>0.48444730024909677</v>
      </c>
      <c r="M10" s="7">
        <f t="shared" si="8"/>
        <v>0.41625862631165367</v>
      </c>
      <c r="N10" s="7">
        <f t="shared" si="9"/>
        <v>0.29059334552777366</v>
      </c>
      <c r="P10" s="3" t="s">
        <v>66</v>
      </c>
      <c r="R10" s="5">
        <f>+AVERAGE(Q9:R9)</f>
        <v>114812599.5</v>
      </c>
      <c r="S10" s="5">
        <f t="shared" ref="S10:V10" si="11">+AVERAGE(R9:S9)</f>
        <v>179843420.5</v>
      </c>
      <c r="T10" s="5">
        <f t="shared" si="11"/>
        <v>185507893</v>
      </c>
      <c r="U10" s="5">
        <f t="shared" si="11"/>
        <v>196552448.5</v>
      </c>
      <c r="V10" s="5">
        <f t="shared" si="11"/>
        <v>223235321.5</v>
      </c>
      <c r="W10" s="11"/>
    </row>
    <row r="11" spans="1:23" ht="16.5" x14ac:dyDescent="0.25">
      <c r="A11" s="3" t="s">
        <v>16</v>
      </c>
      <c r="B11" s="5">
        <v>11825924</v>
      </c>
      <c r="C11" s="5">
        <v>15246779</v>
      </c>
      <c r="D11" s="5">
        <v>27447588</v>
      </c>
      <c r="E11" s="5">
        <v>75032296</v>
      </c>
      <c r="F11" s="5">
        <v>91521555</v>
      </c>
      <c r="G11" s="5">
        <v>130839355</v>
      </c>
      <c r="H11" s="7">
        <f t="shared" si="3"/>
        <v>0.24994678575369042</v>
      </c>
      <c r="I11" s="7">
        <f t="shared" si="4"/>
        <v>0.28926746020015015</v>
      </c>
      <c r="J11" s="7">
        <f t="shared" si="5"/>
        <v>0.80022206657550421</v>
      </c>
      <c r="K11" s="7">
        <f t="shared" si="6"/>
        <v>1.733657179639974</v>
      </c>
      <c r="L11" s="7">
        <f t="shared" si="7"/>
        <v>0.21976215415292644</v>
      </c>
      <c r="M11" s="7">
        <f t="shared" si="8"/>
        <v>0.42960152938835017</v>
      </c>
      <c r="N11" s="7">
        <f t="shared" si="9"/>
        <v>0.69450207799138097</v>
      </c>
      <c r="P11" s="12" t="s">
        <v>67</v>
      </c>
      <c r="R11" s="13">
        <f>+C40/R10</f>
        <v>3.575812888027154</v>
      </c>
      <c r="S11" s="13">
        <f t="shared" ref="S11:V11" si="12">+D40/S10</f>
        <v>1.9746832495326121</v>
      </c>
      <c r="T11" s="13">
        <f t="shared" si="12"/>
        <v>2.8411192670923171</v>
      </c>
      <c r="U11" s="13">
        <f t="shared" si="12"/>
        <v>3.6025408861798027</v>
      </c>
      <c r="V11" s="13">
        <f t="shared" si="12"/>
        <v>3.786713129982882</v>
      </c>
      <c r="W11" s="12" t="s">
        <v>64</v>
      </c>
    </row>
    <row r="12" spans="1:23" ht="16.5" x14ac:dyDescent="0.25">
      <c r="A12" s="2" t="s">
        <v>20</v>
      </c>
      <c r="B12" s="6">
        <f>SUM(B7:B11)</f>
        <v>52102456</v>
      </c>
      <c r="C12" s="6">
        <f>SUM(C7:C11)</f>
        <v>55838555</v>
      </c>
      <c r="D12" s="6">
        <f>SUM(D7:D11)</f>
        <v>64740253</v>
      </c>
      <c r="E12" s="6">
        <f>SUM(E7:E11)</f>
        <v>132237488</v>
      </c>
      <c r="F12" s="6">
        <f t="shared" ref="F12" si="13">SUM(F7:F11)</f>
        <v>169469566</v>
      </c>
      <c r="G12" s="6">
        <f>SUM(G7:G11)</f>
        <v>226667388</v>
      </c>
      <c r="H12" s="8">
        <f t="shared" si="3"/>
        <v>0.43301027481971782</v>
      </c>
      <c r="I12" s="8">
        <f t="shared" si="4"/>
        <v>7.1706773285313163E-2</v>
      </c>
      <c r="J12" s="8">
        <f t="shared" si="5"/>
        <v>0.15941848781724377</v>
      </c>
      <c r="K12" s="8">
        <f t="shared" si="6"/>
        <v>1.042585283069561</v>
      </c>
      <c r="L12" s="8">
        <f t="shared" si="7"/>
        <v>0.28155463751701038</v>
      </c>
      <c r="M12" s="8">
        <f t="shared" si="8"/>
        <v>0.33751087791184875</v>
      </c>
      <c r="N12" s="8">
        <f t="shared" si="9"/>
        <v>0.37855521192019542</v>
      </c>
      <c r="P12" s="11"/>
      <c r="W12" s="11"/>
    </row>
    <row r="13" spans="1:23" ht="16.5" x14ac:dyDescent="0.25">
      <c r="A13" s="3" t="s">
        <v>17</v>
      </c>
      <c r="B13" s="5">
        <v>50252703</v>
      </c>
      <c r="C13" s="5">
        <v>179372496</v>
      </c>
      <c r="D13" s="5">
        <v>180116378</v>
      </c>
      <c r="E13" s="5">
        <v>190503474</v>
      </c>
      <c r="F13" s="5">
        <v>202205489</v>
      </c>
      <c r="G13" s="5">
        <v>243869220</v>
      </c>
      <c r="H13" s="7">
        <f t="shared" si="3"/>
        <v>0.46587150848656811</v>
      </c>
      <c r="I13" s="7">
        <f t="shared" si="4"/>
        <v>2.5694099081595669</v>
      </c>
      <c r="J13" s="7">
        <f t="shared" si="5"/>
        <v>4.1471352441904141E-3</v>
      </c>
      <c r="K13" s="7">
        <f t="shared" si="6"/>
        <v>5.7668803444404171E-2</v>
      </c>
      <c r="L13" s="7">
        <f t="shared" si="7"/>
        <v>6.142678007016289E-2</v>
      </c>
      <c r="M13" s="7">
        <f t="shared" si="8"/>
        <v>0.20604648867865305</v>
      </c>
      <c r="N13" s="7">
        <f t="shared" si="9"/>
        <v>0.57973982311939543</v>
      </c>
      <c r="P13" s="3" t="s">
        <v>68</v>
      </c>
      <c r="R13" s="5">
        <f>+AVERAGE(B9:C9)</f>
        <v>9663790</v>
      </c>
      <c r="S13" s="5">
        <f>+AVERAGE(C9:D9)</f>
        <v>9757175.5</v>
      </c>
      <c r="T13" s="5">
        <f>+AVERAGE(D9:E9)</f>
        <v>13902879.5</v>
      </c>
      <c r="U13" s="5">
        <f>+AVERAGE(E9:F9)</f>
        <v>19053365</v>
      </c>
      <c r="V13" s="5">
        <f>+AVERAGE(F9:G9)</f>
        <v>20124507</v>
      </c>
      <c r="W13" s="11"/>
    </row>
    <row r="14" spans="1:23" ht="16.5" x14ac:dyDescent="0.25">
      <c r="A14" s="3" t="s">
        <v>18</v>
      </c>
      <c r="B14" s="5"/>
      <c r="C14" s="5"/>
      <c r="D14" s="5">
        <v>197967</v>
      </c>
      <c r="E14" s="5">
        <v>197967</v>
      </c>
      <c r="F14" s="5">
        <v>197967</v>
      </c>
      <c r="G14" s="5">
        <v>197967</v>
      </c>
      <c r="H14" s="7">
        <f t="shared" si="3"/>
        <v>3.7818296593789257E-4</v>
      </c>
      <c r="I14" s="7"/>
      <c r="J14" s="7"/>
      <c r="K14" s="7">
        <f t="shared" si="6"/>
        <v>0</v>
      </c>
      <c r="L14" s="7">
        <f t="shared" si="7"/>
        <v>0</v>
      </c>
      <c r="M14" s="7">
        <f t="shared" si="8"/>
        <v>0</v>
      </c>
      <c r="N14" s="7">
        <f t="shared" si="9"/>
        <v>0</v>
      </c>
      <c r="P14" s="12" t="s">
        <v>69</v>
      </c>
      <c r="R14" s="13">
        <f>+C41/R13</f>
        <v>18.378211447061659</v>
      </c>
      <c r="S14" s="13">
        <f>+D41/S13</f>
        <v>14.991894016869944</v>
      </c>
      <c r="T14" s="13">
        <f>+E41/T13</f>
        <v>16.357131844521849</v>
      </c>
      <c r="U14" s="13">
        <f>+F41/U13</f>
        <v>18.525774790962121</v>
      </c>
      <c r="V14" s="13">
        <f>+G41/V13</f>
        <v>20.901409659376998</v>
      </c>
      <c r="W14" s="12" t="s">
        <v>64</v>
      </c>
    </row>
    <row r="15" spans="1:23" ht="16.5" x14ac:dyDescent="0.25">
      <c r="A15" s="3" t="s">
        <v>19</v>
      </c>
      <c r="B15" s="5">
        <v>303388</v>
      </c>
      <c r="C15" s="5">
        <v>35221428</v>
      </c>
      <c r="D15" s="5">
        <v>35278759</v>
      </c>
      <c r="E15" s="5">
        <v>48898255</v>
      </c>
      <c r="F15" s="5">
        <v>45206356</v>
      </c>
      <c r="G15" s="5">
        <v>52734269</v>
      </c>
      <c r="H15" s="7">
        <f t="shared" si="3"/>
        <v>0.10074003372777617</v>
      </c>
      <c r="I15" s="7">
        <f t="shared" si="4"/>
        <v>115.09367542552771</v>
      </c>
      <c r="J15" s="7">
        <f t="shared" si="5"/>
        <v>1.6277307098395699E-3</v>
      </c>
      <c r="K15" s="7">
        <f t="shared" si="6"/>
        <v>0.38605371577838099</v>
      </c>
      <c r="L15" s="7">
        <f t="shared" si="7"/>
        <v>-7.5501651337046671E-2</v>
      </c>
      <c r="M15" s="7">
        <f t="shared" si="8"/>
        <v>0.1665233313651735</v>
      </c>
      <c r="N15" s="7">
        <f t="shared" si="9"/>
        <v>23.114475710408811</v>
      </c>
      <c r="P15" s="12" t="s">
        <v>70</v>
      </c>
      <c r="R15" s="14">
        <f>365/R14</f>
        <v>19.860474510883748</v>
      </c>
      <c r="S15" s="14">
        <f>365/S14</f>
        <v>24.34649014922838</v>
      </c>
      <c r="T15" s="14">
        <f>365/T14</f>
        <v>22.314425503774476</v>
      </c>
      <c r="U15" s="14">
        <f>365/U14</f>
        <v>19.702279884027675</v>
      </c>
      <c r="V15" s="14">
        <f>365/V14</f>
        <v>17.462936995555708</v>
      </c>
      <c r="W15" s="12" t="s">
        <v>71</v>
      </c>
    </row>
    <row r="16" spans="1:23" ht="16.5" x14ac:dyDescent="0.25">
      <c r="A16" s="3" t="s">
        <v>21</v>
      </c>
      <c r="B16" s="5">
        <v>7949</v>
      </c>
      <c r="C16" s="5">
        <v>197967</v>
      </c>
      <c r="D16" s="5"/>
      <c r="E16" s="5"/>
      <c r="F16" s="5"/>
      <c r="G16" s="5"/>
      <c r="H16" s="7">
        <f t="shared" si="3"/>
        <v>0</v>
      </c>
      <c r="I16" s="7">
        <f t="shared" si="4"/>
        <v>23.904642093345075</v>
      </c>
      <c r="J16" s="7">
        <f t="shared" si="5"/>
        <v>-1</v>
      </c>
      <c r="K16" s="7"/>
      <c r="L16" s="7"/>
      <c r="M16" s="7"/>
      <c r="N16" s="7"/>
      <c r="P16" s="11"/>
      <c r="W16" s="11"/>
    </row>
    <row r="17" spans="1:23" ht="16.5" x14ac:dyDescent="0.25">
      <c r="A17" s="2" t="s">
        <v>35</v>
      </c>
      <c r="B17" s="6">
        <f>SUM(B13:B16)</f>
        <v>50564040</v>
      </c>
      <c r="C17" s="6">
        <f>SUM(C13:C16)</f>
        <v>214791891</v>
      </c>
      <c r="D17" s="6">
        <f>SUM(D13:D16)</f>
        <v>215593104</v>
      </c>
      <c r="E17" s="6">
        <f>SUM(E13:E16)</f>
        <v>239599696</v>
      </c>
      <c r="F17" s="6">
        <f t="shared" ref="F17" si="14">SUM(F13:F16)</f>
        <v>247609812</v>
      </c>
      <c r="G17" s="6">
        <f>SUM(G13:G16)</f>
        <v>296801456</v>
      </c>
      <c r="H17" s="8">
        <f t="shared" si="3"/>
        <v>0.56698972518028212</v>
      </c>
      <c r="I17" s="8">
        <f t="shared" si="4"/>
        <v>3.2479179076671878</v>
      </c>
      <c r="J17" s="8">
        <f t="shared" si="5"/>
        <v>3.7301827190487913E-3</v>
      </c>
      <c r="K17" s="8">
        <f t="shared" si="6"/>
        <v>0.11135139090534185</v>
      </c>
      <c r="L17" s="8">
        <f t="shared" si="7"/>
        <v>3.3431244420276673E-2</v>
      </c>
      <c r="M17" s="8">
        <f t="shared" si="8"/>
        <v>0.19866597208999126</v>
      </c>
      <c r="N17" s="8">
        <f t="shared" si="9"/>
        <v>0.71901933956036923</v>
      </c>
      <c r="P17" s="3" t="s">
        <v>72</v>
      </c>
      <c r="R17" s="5">
        <f>+AVERAGE(B8:C8)</f>
        <v>11007214.5</v>
      </c>
      <c r="S17" s="5">
        <f>+AVERAGE(C8:D8)</f>
        <v>12241440.5</v>
      </c>
      <c r="T17" s="5">
        <f>+AVERAGE(D8:E8)</f>
        <v>15544156</v>
      </c>
      <c r="U17" s="5">
        <f>+AVERAGE(E8:F8)</f>
        <v>22783102</v>
      </c>
      <c r="V17" s="5">
        <f>+AVERAGE(F8:G8)</f>
        <v>24082258</v>
      </c>
      <c r="W17" s="11"/>
    </row>
    <row r="18" spans="1:23" ht="16.5" x14ac:dyDescent="0.25">
      <c r="A18" s="2" t="s">
        <v>34</v>
      </c>
      <c r="B18" s="6">
        <f>+B12+B17</f>
        <v>102666496</v>
      </c>
      <c r="C18" s="6">
        <f>+C12+C17</f>
        <v>270630446</v>
      </c>
      <c r="D18" s="6">
        <f>+D12+D17</f>
        <v>280333357</v>
      </c>
      <c r="E18" s="6">
        <f>+E12+E17</f>
        <v>371837184</v>
      </c>
      <c r="F18" s="6">
        <f t="shared" ref="F18" si="15">+F12+F17</f>
        <v>417079378</v>
      </c>
      <c r="G18" s="6">
        <f>+G12+G17</f>
        <v>523468844</v>
      </c>
      <c r="H18" s="8">
        <f t="shared" si="3"/>
        <v>1</v>
      </c>
      <c r="I18" s="8">
        <f t="shared" si="4"/>
        <v>1.6360152196097157</v>
      </c>
      <c r="J18" s="8">
        <f t="shared" si="5"/>
        <v>3.5852991204101237E-2</v>
      </c>
      <c r="K18" s="8">
        <f t="shared" si="6"/>
        <v>0.32641077030301457</v>
      </c>
      <c r="L18" s="8">
        <f t="shared" si="7"/>
        <v>0.12167205418595262</v>
      </c>
      <c r="M18" s="8">
        <f t="shared" si="8"/>
        <v>0.2550820577851729</v>
      </c>
      <c r="N18" s="8">
        <f t="shared" si="9"/>
        <v>0.47500661861759141</v>
      </c>
      <c r="P18" s="12" t="s">
        <v>73</v>
      </c>
      <c r="R18" s="13">
        <f>+C40/R17</f>
        <v>37.298116885066605</v>
      </c>
      <c r="S18" s="13">
        <f>+D40/S17</f>
        <v>29.010784310882368</v>
      </c>
      <c r="T18" s="13">
        <f>+E40/T17</f>
        <v>33.906636616359229</v>
      </c>
      <c r="U18" s="13">
        <f>+F40/U17</f>
        <v>31.079535701503683</v>
      </c>
      <c r="V18" s="13">
        <f>+G40/V17</f>
        <v>35.101696983729681</v>
      </c>
      <c r="W18" s="12" t="s">
        <v>64</v>
      </c>
    </row>
    <row r="19" spans="1:23" ht="16.5" x14ac:dyDescent="0.25">
      <c r="A19" s="3" t="s">
        <v>42</v>
      </c>
      <c r="B19" s="5"/>
      <c r="C19" s="5"/>
      <c r="D19" s="5"/>
      <c r="E19" s="5"/>
      <c r="F19" s="5">
        <v>7845504</v>
      </c>
      <c r="G19" s="5">
        <v>9931274</v>
      </c>
      <c r="H19" s="7">
        <f t="shared" si="3"/>
        <v>1.897204411271514E-2</v>
      </c>
      <c r="I19" s="7"/>
      <c r="J19" s="7"/>
      <c r="K19" s="7"/>
      <c r="L19" s="7"/>
      <c r="M19" s="7">
        <f t="shared" si="8"/>
        <v>0.26585545045926939</v>
      </c>
      <c r="N19" s="7">
        <f t="shared" si="9"/>
        <v>0.26585545045926939</v>
      </c>
      <c r="P19" s="12" t="s">
        <v>74</v>
      </c>
      <c r="R19" s="14">
        <f>365/R18</f>
        <v>9.7860168416743427</v>
      </c>
      <c r="S19" s="14">
        <f>365/S18</f>
        <v>12.581528168581197</v>
      </c>
      <c r="T19" s="14">
        <f>365/T18</f>
        <v>10.764854212166101</v>
      </c>
      <c r="U19" s="14">
        <f>365/U18</f>
        <v>11.744062186306749</v>
      </c>
      <c r="V19" s="14">
        <f>365/V18</f>
        <v>10.398357668268419</v>
      </c>
      <c r="W19" s="12" t="s">
        <v>71</v>
      </c>
    </row>
    <row r="20" spans="1:23" ht="16.5" x14ac:dyDescent="0.25">
      <c r="A20" s="3" t="s">
        <v>26</v>
      </c>
      <c r="B20" s="5"/>
      <c r="C20" s="5"/>
      <c r="D20" s="5"/>
      <c r="E20" s="5">
        <v>1518803</v>
      </c>
      <c r="F20" s="5"/>
      <c r="G20" s="5"/>
      <c r="H20" s="7">
        <f t="shared" si="3"/>
        <v>0</v>
      </c>
      <c r="I20" s="7"/>
      <c r="J20" s="7"/>
      <c r="K20" s="7"/>
      <c r="L20" s="7">
        <f t="shared" si="7"/>
        <v>-1</v>
      </c>
      <c r="M20" s="7"/>
      <c r="N20" s="7">
        <f t="shared" si="9"/>
        <v>-1</v>
      </c>
      <c r="P20" s="11"/>
      <c r="W20" s="11"/>
    </row>
    <row r="21" spans="1:23" ht="16.5" x14ac:dyDescent="0.25">
      <c r="A21" s="3" t="s">
        <v>22</v>
      </c>
      <c r="B21" s="5">
        <v>45045174</v>
      </c>
      <c r="C21" s="5">
        <v>79663127</v>
      </c>
      <c r="D21" s="5">
        <v>44324704</v>
      </c>
      <c r="E21" s="5">
        <v>59519119</v>
      </c>
      <c r="F21" s="5">
        <v>138657591</v>
      </c>
      <c r="G21" s="5">
        <v>169598742</v>
      </c>
      <c r="H21" s="7">
        <f t="shared" si="3"/>
        <v>0.32399013607770705</v>
      </c>
      <c r="I21" s="7">
        <f t="shared" si="4"/>
        <v>0.76851635649137462</v>
      </c>
      <c r="J21" s="7">
        <f t="shared" si="5"/>
        <v>-0.443598240877489</v>
      </c>
      <c r="K21" s="7">
        <f t="shared" si="6"/>
        <v>0.34279788986295312</v>
      </c>
      <c r="L21" s="7">
        <f t="shared" si="7"/>
        <v>1.3296311055948258</v>
      </c>
      <c r="M21" s="7">
        <f t="shared" si="8"/>
        <v>0.22314790540389517</v>
      </c>
      <c r="N21" s="7">
        <f t="shared" si="9"/>
        <v>0.44409900329511193</v>
      </c>
      <c r="P21" s="3" t="s">
        <v>75</v>
      </c>
      <c r="R21" s="5">
        <f>+B9</f>
        <v>10547251</v>
      </c>
      <c r="S21" s="5">
        <f>+C9</f>
        <v>8780329</v>
      </c>
      <c r="T21" s="5">
        <f>+D9</f>
        <v>10734022</v>
      </c>
      <c r="U21" s="5">
        <f>+E9</f>
        <v>17071737</v>
      </c>
      <c r="V21" s="5">
        <f>+F9</f>
        <v>21034993</v>
      </c>
      <c r="W21" s="11"/>
    </row>
    <row r="22" spans="1:23" ht="16.5" x14ac:dyDescent="0.25">
      <c r="A22" s="3" t="s">
        <v>23</v>
      </c>
      <c r="B22" s="5">
        <v>9387851</v>
      </c>
      <c r="C22" s="5">
        <v>8691802</v>
      </c>
      <c r="D22" s="5">
        <v>7128136</v>
      </c>
      <c r="E22" s="5">
        <v>17065401</v>
      </c>
      <c r="F22" s="5">
        <v>20380900</v>
      </c>
      <c r="G22" s="5">
        <v>20167998</v>
      </c>
      <c r="H22" s="7">
        <f t="shared" si="3"/>
        <v>3.8527599552801654E-2</v>
      </c>
      <c r="I22" s="7">
        <f t="shared" si="4"/>
        <v>-7.4143592607083364E-2</v>
      </c>
      <c r="J22" s="7">
        <f t="shared" si="5"/>
        <v>-0.1799012448741929</v>
      </c>
      <c r="K22" s="7">
        <f t="shared" si="6"/>
        <v>1.394090264271052</v>
      </c>
      <c r="L22" s="7">
        <f t="shared" si="7"/>
        <v>0.19428192750935058</v>
      </c>
      <c r="M22" s="7">
        <f t="shared" si="8"/>
        <v>-1.0446153015813864E-2</v>
      </c>
      <c r="N22" s="7">
        <f t="shared" si="9"/>
        <v>0.26477624025666247</v>
      </c>
      <c r="P22" s="3" t="s">
        <v>76</v>
      </c>
      <c r="R22" s="5">
        <f>+C9</f>
        <v>8780329</v>
      </c>
      <c r="S22" s="5">
        <f>+D9</f>
        <v>10734022</v>
      </c>
      <c r="T22" s="5">
        <f>+E9</f>
        <v>17071737</v>
      </c>
      <c r="U22" s="5">
        <f>+F9</f>
        <v>21034993</v>
      </c>
      <c r="V22" s="5">
        <f>+G9</f>
        <v>19214021</v>
      </c>
      <c r="W22" s="11"/>
    </row>
    <row r="23" spans="1:23" ht="16.5" x14ac:dyDescent="0.25">
      <c r="A23" s="3" t="s">
        <v>24</v>
      </c>
      <c r="B23" s="5"/>
      <c r="C23" s="5"/>
      <c r="D23" s="5">
        <v>26828371</v>
      </c>
      <c r="E23" s="5">
        <v>30309089</v>
      </c>
      <c r="F23" s="5">
        <v>36793164</v>
      </c>
      <c r="G23" s="5">
        <v>41891309</v>
      </c>
      <c r="H23" s="7">
        <f t="shared" si="3"/>
        <v>8.002636542777701E-2</v>
      </c>
      <c r="I23" s="7"/>
      <c r="J23" s="7"/>
      <c r="K23" s="7">
        <f t="shared" si="6"/>
        <v>0.12974019182901553</v>
      </c>
      <c r="L23" s="7">
        <f t="shared" si="7"/>
        <v>0.21393170213726975</v>
      </c>
      <c r="M23" s="7">
        <f t="shared" si="8"/>
        <v>0.13856228836421902</v>
      </c>
      <c r="N23" s="7">
        <f t="shared" si="9"/>
        <v>0.16074472744350143</v>
      </c>
      <c r="P23" s="10" t="s">
        <v>77</v>
      </c>
      <c r="R23" s="5">
        <f>+C41+R22-R21</f>
        <v>175836254</v>
      </c>
      <c r="S23" s="5">
        <f>+D41+S22-S21</f>
        <v>148232234</v>
      </c>
      <c r="T23" s="5">
        <f>+E41+T22-T21</f>
        <v>233748948</v>
      </c>
      <c r="U23" s="5">
        <f>+F41+U22-U21</f>
        <v>356941605</v>
      </c>
      <c r="V23" s="5">
        <f>+G41+V22-V21</f>
        <v>418809593</v>
      </c>
      <c r="W23" s="11"/>
    </row>
    <row r="24" spans="1:23" ht="16.5" x14ac:dyDescent="0.25">
      <c r="A24" s="3" t="s">
        <v>25</v>
      </c>
      <c r="B24" s="5"/>
      <c r="C24" s="5"/>
      <c r="D24" s="5">
        <v>961635</v>
      </c>
      <c r="E24" s="5">
        <v>2163025</v>
      </c>
      <c r="F24" s="5">
        <v>4970403</v>
      </c>
      <c r="G24" s="5">
        <v>5361250</v>
      </c>
      <c r="H24" s="7">
        <f t="shared" si="3"/>
        <v>1.0241774771222106E-2</v>
      </c>
      <c r="I24" s="7"/>
      <c r="J24" s="7"/>
      <c r="K24" s="7">
        <f t="shared" si="6"/>
        <v>1.2493201682551072</v>
      </c>
      <c r="L24" s="7">
        <f t="shared" si="7"/>
        <v>1.297894384022376</v>
      </c>
      <c r="M24" s="7">
        <f t="shared" si="8"/>
        <v>7.863487125691826E-2</v>
      </c>
      <c r="N24" s="7">
        <f t="shared" si="9"/>
        <v>0.87528314117813377</v>
      </c>
      <c r="P24" s="3" t="s">
        <v>78</v>
      </c>
      <c r="R24" s="5">
        <f>+AVERAGE(B21:C21)</f>
        <v>62354150.5</v>
      </c>
      <c r="S24" s="5">
        <f>+AVERAGE(C21:D21)</f>
        <v>61993915.5</v>
      </c>
      <c r="T24" s="5">
        <f>+AVERAGE(D21:E21)</f>
        <v>51921911.5</v>
      </c>
      <c r="U24" s="5">
        <f>+AVERAGE(E21:F21)</f>
        <v>99088355</v>
      </c>
      <c r="V24" s="5">
        <f>+AVERAGE(F21:G21)</f>
        <v>154128166.5</v>
      </c>
      <c r="W24" s="11"/>
    </row>
    <row r="25" spans="1:23" ht="16.5" x14ac:dyDescent="0.25">
      <c r="A25" s="2" t="s">
        <v>27</v>
      </c>
      <c r="B25" s="6">
        <f>SUM(B19:B24)</f>
        <v>54433025</v>
      </c>
      <c r="C25" s="6">
        <f>SUM(C19:C24)</f>
        <v>88354929</v>
      </c>
      <c r="D25" s="6">
        <f>SUM(D19:D24)</f>
        <v>79242846</v>
      </c>
      <c r="E25" s="6">
        <f>SUM(E19:E24)</f>
        <v>110575437</v>
      </c>
      <c r="F25" s="6">
        <f t="shared" ref="F25" si="16">SUM(F19:F24)</f>
        <v>208647562</v>
      </c>
      <c r="G25" s="6">
        <f>SUM(G19:G24)</f>
        <v>246950573</v>
      </c>
      <c r="H25" s="8">
        <f t="shared" si="3"/>
        <v>0.47175791994222294</v>
      </c>
      <c r="I25" s="8">
        <f t="shared" si="4"/>
        <v>0.6231860896946293</v>
      </c>
      <c r="J25" s="8">
        <f t="shared" si="5"/>
        <v>-0.10313044335081745</v>
      </c>
      <c r="K25" s="8">
        <f t="shared" si="6"/>
        <v>0.39539961752509489</v>
      </c>
      <c r="L25" s="8">
        <f t="shared" si="7"/>
        <v>0.88692505009046441</v>
      </c>
      <c r="M25" s="8">
        <f t="shared" si="8"/>
        <v>0.18357756320200846</v>
      </c>
      <c r="N25" s="8">
        <f t="shared" si="9"/>
        <v>0.39719157543227596</v>
      </c>
      <c r="P25" s="12" t="s">
        <v>79</v>
      </c>
      <c r="R25" s="13">
        <f>+R23/R24</f>
        <v>2.8199607017338804</v>
      </c>
      <c r="S25" s="13">
        <f>+S23/S24</f>
        <v>2.3910771372393795</v>
      </c>
      <c r="T25" s="13">
        <f>+T23/T24</f>
        <v>4.5019326378228586</v>
      </c>
      <c r="U25" s="13">
        <f>+U23/U24</f>
        <v>3.60225583520889</v>
      </c>
      <c r="V25" s="13">
        <f>+V23/V24</f>
        <v>2.7172813542812113</v>
      </c>
      <c r="W25" s="12" t="s">
        <v>64</v>
      </c>
    </row>
    <row r="26" spans="1:23" ht="16.5" x14ac:dyDescent="0.25">
      <c r="A26" s="3" t="s">
        <v>28</v>
      </c>
      <c r="B26" s="5">
        <v>2624919</v>
      </c>
      <c r="C26" s="5">
        <v>38272655</v>
      </c>
      <c r="D26" s="5">
        <v>38659273</v>
      </c>
      <c r="E26" s="5">
        <v>52382161</v>
      </c>
      <c r="F26" s="5">
        <v>51492845</v>
      </c>
      <c r="G26" s="5">
        <v>60907078</v>
      </c>
      <c r="H26" s="7">
        <f t="shared" si="3"/>
        <v>0.11635282347386466</v>
      </c>
      <c r="I26" s="7">
        <f t="shared" si="4"/>
        <v>13.58050896046697</v>
      </c>
      <c r="J26" s="7">
        <f t="shared" si="5"/>
        <v>1.0101677032858136E-2</v>
      </c>
      <c r="K26" s="7">
        <f t="shared" si="6"/>
        <v>0.35497015166322443</v>
      </c>
      <c r="L26" s="7">
        <f t="shared" si="7"/>
        <v>-1.6977459177371479E-2</v>
      </c>
      <c r="M26" s="7">
        <f t="shared" si="8"/>
        <v>0.18282604117135115</v>
      </c>
      <c r="N26" s="7">
        <f t="shared" si="9"/>
        <v>2.8222858742314063</v>
      </c>
      <c r="P26" s="12" t="s">
        <v>80</v>
      </c>
      <c r="R26" s="14">
        <f>365/R25</f>
        <v>129.43442785411023</v>
      </c>
      <c r="S26" s="14">
        <f>365/S25</f>
        <v>152.6508678098989</v>
      </c>
      <c r="T26" s="14">
        <f>365/T25</f>
        <v>81.076290865274814</v>
      </c>
      <c r="U26" s="14">
        <f>365/U25</f>
        <v>101.32539627875546</v>
      </c>
      <c r="V26" s="14">
        <f>365/V25</f>
        <v>134.3254350253147</v>
      </c>
      <c r="W26" s="12" t="s">
        <v>71</v>
      </c>
    </row>
    <row r="27" spans="1:23" ht="16.5" x14ac:dyDescent="0.25">
      <c r="A27" s="3" t="s">
        <v>29</v>
      </c>
      <c r="B27" s="5">
        <v>264971</v>
      </c>
      <c r="C27" s="5">
        <v>125275</v>
      </c>
      <c r="D27" s="5">
        <v>100262066</v>
      </c>
      <c r="E27" s="5">
        <v>107669003</v>
      </c>
      <c r="F27" s="5">
        <v>89962817</v>
      </c>
      <c r="G27" s="5">
        <v>105453033</v>
      </c>
      <c r="H27" s="7">
        <f t="shared" si="3"/>
        <v>0.20145044773667561</v>
      </c>
      <c r="I27" s="7">
        <f t="shared" si="4"/>
        <v>-0.52721241192432378</v>
      </c>
      <c r="J27" s="7">
        <f t="shared" si="5"/>
        <v>799.33578926362009</v>
      </c>
      <c r="K27" s="7">
        <f t="shared" si="6"/>
        <v>7.3875766733153103E-2</v>
      </c>
      <c r="L27" s="7">
        <f t="shared" si="7"/>
        <v>-0.16445017142027407</v>
      </c>
      <c r="M27" s="7">
        <f t="shared" si="8"/>
        <v>0.1721846482419509</v>
      </c>
      <c r="N27" s="7">
        <f t="shared" si="9"/>
        <v>159.77803741905012</v>
      </c>
      <c r="P27" s="11"/>
      <c r="W27" s="11"/>
    </row>
    <row r="28" spans="1:23" ht="16.5" x14ac:dyDescent="0.25">
      <c r="A28" s="3" t="s">
        <v>30</v>
      </c>
      <c r="B28" s="5">
        <v>6162217</v>
      </c>
      <c r="C28" s="5">
        <v>95087261</v>
      </c>
      <c r="D28" s="5">
        <v>3435955</v>
      </c>
      <c r="E28" s="5">
        <v>1698633</v>
      </c>
      <c r="F28" s="5"/>
      <c r="G28" s="5"/>
      <c r="H28" s="7">
        <f t="shared" si="3"/>
        <v>0</v>
      </c>
      <c r="I28" s="7">
        <f t="shared" si="4"/>
        <v>14.430690123376051</v>
      </c>
      <c r="J28" s="7">
        <f t="shared" si="5"/>
        <v>-0.96386524373648752</v>
      </c>
      <c r="K28" s="7">
        <f t="shared" si="6"/>
        <v>-0.50563002134777668</v>
      </c>
      <c r="L28" s="7">
        <f t="shared" si="7"/>
        <v>-1</v>
      </c>
      <c r="M28" s="7"/>
      <c r="N28" s="7"/>
      <c r="P28" s="12" t="s">
        <v>81</v>
      </c>
      <c r="Q28" s="11"/>
      <c r="R28" s="14">
        <f>+R15+R19-R26</f>
        <v>-99.787936501552139</v>
      </c>
      <c r="S28" s="14">
        <f>+S15+S19-S26</f>
        <v>-115.72284949208932</v>
      </c>
      <c r="T28" s="14">
        <f>+T15+T19-T26</f>
        <v>-47.997011149334234</v>
      </c>
      <c r="U28" s="14">
        <f>+U15+U19-U26</f>
        <v>-69.879054208421039</v>
      </c>
      <c r="V28" s="13">
        <f>+V15+V19-V26</f>
        <v>-106.46414036149058</v>
      </c>
      <c r="W28" s="12" t="s">
        <v>71</v>
      </c>
    </row>
    <row r="29" spans="1:23" ht="16.5" x14ac:dyDescent="0.25">
      <c r="A29" s="2" t="s">
        <v>31</v>
      </c>
      <c r="B29" s="6">
        <f>SUM(B26:B28)</f>
        <v>9052107</v>
      </c>
      <c r="C29" s="6">
        <f>SUM(C26:C28)</f>
        <v>133485191</v>
      </c>
      <c r="D29" s="6">
        <f>SUM(D26:D28)</f>
        <v>142357294</v>
      </c>
      <c r="E29" s="6">
        <f>SUM(E26:E28)</f>
        <v>161749797</v>
      </c>
      <c r="F29" s="6">
        <f t="shared" ref="F29" si="17">SUM(F26:F28)</f>
        <v>141455662</v>
      </c>
      <c r="G29" s="6">
        <f>SUM(G26:G28)</f>
        <v>166360111</v>
      </c>
      <c r="H29" s="8">
        <f t="shared" si="3"/>
        <v>0.31780327121054031</v>
      </c>
      <c r="I29" s="8">
        <f t="shared" si="4"/>
        <v>13.746311659815776</v>
      </c>
      <c r="J29" s="8">
        <f t="shared" si="5"/>
        <v>6.6465073267940156E-2</v>
      </c>
      <c r="K29" s="8">
        <f t="shared" si="6"/>
        <v>0.1362241614398767</v>
      </c>
      <c r="L29" s="8">
        <f t="shared" si="7"/>
        <v>-0.12546621619562215</v>
      </c>
      <c r="M29" s="8">
        <f t="shared" si="8"/>
        <v>0.17605833975030283</v>
      </c>
      <c r="N29" s="8">
        <f t="shared" si="9"/>
        <v>2.7999186036156543</v>
      </c>
      <c r="P29" s="11"/>
      <c r="W29" s="11"/>
    </row>
    <row r="30" spans="1:23" ht="16.5" x14ac:dyDescent="0.25">
      <c r="A30" s="2" t="s">
        <v>32</v>
      </c>
      <c r="B30" s="6">
        <f>+B25+B29</f>
        <v>63485132</v>
      </c>
      <c r="C30" s="6">
        <f>+C25+C29</f>
        <v>221840120</v>
      </c>
      <c r="D30" s="6">
        <f>+D25+D29</f>
        <v>221600140</v>
      </c>
      <c r="E30" s="6">
        <f>+E25+E29</f>
        <v>272325234</v>
      </c>
      <c r="F30" s="6">
        <f t="shared" ref="F30" si="18">+F25+F29</f>
        <v>350103224</v>
      </c>
      <c r="G30" s="6">
        <f>+G25+G29</f>
        <v>413310684</v>
      </c>
      <c r="H30" s="8">
        <f t="shared" si="3"/>
        <v>0.78956119115276324</v>
      </c>
      <c r="I30" s="8">
        <f t="shared" si="4"/>
        <v>2.4943633731438095</v>
      </c>
      <c r="J30" s="8">
        <f t="shared" si="5"/>
        <v>-1.0817700603479308E-3</v>
      </c>
      <c r="K30" s="8">
        <f t="shared" si="6"/>
        <v>0.22890370917635705</v>
      </c>
      <c r="L30" s="8">
        <f t="shared" si="7"/>
        <v>0.28560698859070843</v>
      </c>
      <c r="M30" s="8">
        <f t="shared" si="8"/>
        <v>0.1805394971169989</v>
      </c>
      <c r="N30" s="8">
        <f t="shared" si="9"/>
        <v>0.63766635959350515</v>
      </c>
      <c r="P30" s="11"/>
      <c r="W30" s="11"/>
    </row>
    <row r="31" spans="1:23" ht="16.5" x14ac:dyDescent="0.25">
      <c r="A31" s="3" t="s">
        <v>33</v>
      </c>
      <c r="B31" s="5">
        <v>4310088</v>
      </c>
      <c r="C31" s="5">
        <v>4310088</v>
      </c>
      <c r="D31" s="5">
        <v>4310088</v>
      </c>
      <c r="E31" s="5">
        <v>4310088</v>
      </c>
      <c r="F31" s="5">
        <v>4310088</v>
      </c>
      <c r="G31" s="5">
        <v>4310088</v>
      </c>
      <c r="H31" s="7">
        <f t="shared" si="3"/>
        <v>8.2337049270500614E-3</v>
      </c>
      <c r="I31" s="7">
        <f t="shared" si="4"/>
        <v>0</v>
      </c>
      <c r="J31" s="7">
        <f t="shared" si="5"/>
        <v>0</v>
      </c>
      <c r="K31" s="7">
        <f t="shared" si="6"/>
        <v>0</v>
      </c>
      <c r="L31" s="7">
        <f t="shared" si="7"/>
        <v>0</v>
      </c>
      <c r="M31" s="7">
        <f t="shared" si="8"/>
        <v>0</v>
      </c>
      <c r="N31" s="7">
        <f t="shared" si="9"/>
        <v>0</v>
      </c>
      <c r="P31" s="11"/>
      <c r="W31" s="11"/>
    </row>
    <row r="32" spans="1:23" ht="16.5" x14ac:dyDescent="0.25">
      <c r="A32" s="3" t="s">
        <v>37</v>
      </c>
      <c r="B32" s="5">
        <v>889312</v>
      </c>
      <c r="C32" s="5">
        <v>889312</v>
      </c>
      <c r="D32" s="5">
        <v>1921177</v>
      </c>
      <c r="E32" s="5">
        <v>1921177</v>
      </c>
      <c r="F32" s="5">
        <v>1921177</v>
      </c>
      <c r="G32" s="5">
        <v>2833168</v>
      </c>
      <c r="H32" s="7">
        <f t="shared" si="3"/>
        <v>5.4122953686236959E-3</v>
      </c>
      <c r="I32" s="7">
        <f t="shared" si="4"/>
        <v>0</v>
      </c>
      <c r="J32" s="7">
        <f t="shared" si="5"/>
        <v>1.1602958241876866</v>
      </c>
      <c r="K32" s="7">
        <f t="shared" si="6"/>
        <v>0</v>
      </c>
      <c r="L32" s="7">
        <f t="shared" si="7"/>
        <v>0</v>
      </c>
      <c r="M32" s="7">
        <f t="shared" si="8"/>
        <v>0.47470430886899018</v>
      </c>
      <c r="N32" s="7">
        <f t="shared" si="9"/>
        <v>0.32700002661133537</v>
      </c>
      <c r="P32" s="11"/>
      <c r="W32" s="11"/>
    </row>
    <row r="33" spans="1:16" ht="16.5" x14ac:dyDescent="0.25">
      <c r="A33" s="3" t="s">
        <v>38</v>
      </c>
      <c r="B33" s="5">
        <v>2179412</v>
      </c>
      <c r="C33" s="5">
        <v>2179412</v>
      </c>
      <c r="D33" s="5">
        <v>2179412</v>
      </c>
      <c r="E33" s="5">
        <v>2179412</v>
      </c>
      <c r="F33" s="5">
        <v>17179414</v>
      </c>
      <c r="G33" s="5">
        <v>17179414</v>
      </c>
      <c r="H33" s="7">
        <f t="shared" si="3"/>
        <v>3.2818407813397961E-2</v>
      </c>
      <c r="I33" s="7">
        <f t="shared" si="4"/>
        <v>0</v>
      </c>
      <c r="J33" s="7">
        <f t="shared" si="5"/>
        <v>0</v>
      </c>
      <c r="K33" s="7">
        <f t="shared" si="6"/>
        <v>0</v>
      </c>
      <c r="L33" s="7">
        <f t="shared" si="7"/>
        <v>6.8825912677364354</v>
      </c>
      <c r="M33" s="7">
        <f>+G33/F33-1</f>
        <v>0</v>
      </c>
      <c r="N33" s="7">
        <f t="shared" si="9"/>
        <v>1.3765182535472871</v>
      </c>
      <c r="P33" s="11"/>
    </row>
    <row r="34" spans="1:16" ht="16.5" x14ac:dyDescent="0.25">
      <c r="A34" s="3" t="s">
        <v>39</v>
      </c>
      <c r="B34" s="5">
        <v>31802552</v>
      </c>
      <c r="C34" s="5">
        <v>41411514</v>
      </c>
      <c r="D34" s="5">
        <v>50322540</v>
      </c>
      <c r="E34" s="5">
        <v>91101273</v>
      </c>
      <c r="F34" s="5">
        <v>43565475</v>
      </c>
      <c r="G34" s="5">
        <v>85835490</v>
      </c>
      <c r="H34" s="7">
        <f t="shared" si="3"/>
        <v>0.16397440073816505</v>
      </c>
      <c r="I34" s="7">
        <f t="shared" si="4"/>
        <v>0.30214436879153594</v>
      </c>
      <c r="J34" s="7">
        <f t="shared" si="5"/>
        <v>0.21518232827710659</v>
      </c>
      <c r="K34" s="7">
        <f t="shared" si="6"/>
        <v>0.81034727181895039</v>
      </c>
      <c r="L34" s="7">
        <f t="shared" si="7"/>
        <v>-0.52179071087184481</v>
      </c>
      <c r="M34" s="7">
        <f t="shared" si="8"/>
        <v>0.97026406804929821</v>
      </c>
      <c r="N34" s="7">
        <f t="shared" si="9"/>
        <v>0.3552294652130093</v>
      </c>
      <c r="P34" s="11"/>
    </row>
    <row r="35" spans="1:16" ht="16.5" x14ac:dyDescent="0.25">
      <c r="A35" s="2" t="s">
        <v>40</v>
      </c>
      <c r="B35" s="6">
        <f>SUM(B31:B34)</f>
        <v>39181364</v>
      </c>
      <c r="C35" s="6">
        <f>SUM(C31:C34)</f>
        <v>48790326</v>
      </c>
      <c r="D35" s="6">
        <f>SUM(D31:D34)</f>
        <v>58733217</v>
      </c>
      <c r="E35" s="6">
        <f>SUM(E31:E34)</f>
        <v>99511950</v>
      </c>
      <c r="F35" s="6">
        <f t="shared" ref="F35" si="19">SUM(F31:F34)</f>
        <v>66976154</v>
      </c>
      <c r="G35" s="6">
        <f>SUM(G31:G34)</f>
        <v>110158160</v>
      </c>
      <c r="H35" s="8">
        <f t="shared" si="3"/>
        <v>0.21043880884723676</v>
      </c>
      <c r="I35" s="8">
        <f t="shared" si="4"/>
        <v>0.2452431722387205</v>
      </c>
      <c r="J35" s="8">
        <f t="shared" si="5"/>
        <v>0.20378816489154028</v>
      </c>
      <c r="K35" s="8">
        <f t="shared" si="6"/>
        <v>0.69430443423523003</v>
      </c>
      <c r="L35" s="8">
        <f t="shared" si="7"/>
        <v>-0.3269536573245726</v>
      </c>
      <c r="M35" s="8">
        <f t="shared" si="8"/>
        <v>0.64473702088059581</v>
      </c>
      <c r="N35" s="8">
        <f t="shared" si="9"/>
        <v>0.29222382698430283</v>
      </c>
      <c r="P35" s="11"/>
    </row>
    <row r="36" spans="1:16" ht="16.5" x14ac:dyDescent="0.25">
      <c r="A36" s="2" t="s">
        <v>41</v>
      </c>
      <c r="B36" s="6">
        <f>+B30+B35</f>
        <v>102666496</v>
      </c>
      <c r="C36" s="6">
        <f>+C30+C35</f>
        <v>270630446</v>
      </c>
      <c r="D36" s="6">
        <f>+D30+D35</f>
        <v>280333357</v>
      </c>
      <c r="E36" s="6">
        <f>+E30+E35</f>
        <v>371837184</v>
      </c>
      <c r="F36" s="6">
        <f t="shared" ref="F36" si="20">+F30+F35</f>
        <v>417079378</v>
      </c>
      <c r="G36" s="6">
        <f>+G30+G35</f>
        <v>523468844</v>
      </c>
      <c r="H36" s="8">
        <f t="shared" si="3"/>
        <v>1</v>
      </c>
      <c r="I36" s="8">
        <f t="shared" si="4"/>
        <v>1.6360152196097157</v>
      </c>
      <c r="J36" s="8">
        <f t="shared" si="5"/>
        <v>3.5852991204101237E-2</v>
      </c>
      <c r="K36" s="8">
        <f t="shared" si="6"/>
        <v>0.32641077030301457</v>
      </c>
      <c r="L36" s="8">
        <f t="shared" si="7"/>
        <v>0.12167205418595262</v>
      </c>
      <c r="M36" s="8">
        <f t="shared" si="8"/>
        <v>0.2550820577851729</v>
      </c>
      <c r="N36" s="8">
        <f t="shared" si="9"/>
        <v>0.47500661861759141</v>
      </c>
      <c r="P36" s="11"/>
    </row>
    <row r="37" spans="1:16" ht="16.5" x14ac:dyDescent="0.25">
      <c r="A37" s="3"/>
      <c r="B37" t="b">
        <f>+B36=B18</f>
        <v>1</v>
      </c>
      <c r="C37" t="b">
        <f>+C36=C18</f>
        <v>1</v>
      </c>
      <c r="D37" t="b">
        <f>+D36=D18</f>
        <v>1</v>
      </c>
      <c r="E37" t="b">
        <f>+E36=E18</f>
        <v>1</v>
      </c>
      <c r="F37" t="b">
        <f t="shared" ref="F37" si="21">+F36=F18</f>
        <v>1</v>
      </c>
      <c r="G37" t="b">
        <f>+G36=G18</f>
        <v>1</v>
      </c>
      <c r="P37" s="11"/>
    </row>
    <row r="38" spans="1:16" ht="16.5" x14ac:dyDescent="0.25">
      <c r="A38" s="3"/>
      <c r="I38" s="31" t="s">
        <v>48</v>
      </c>
      <c r="J38" s="32"/>
      <c r="K38" s="32"/>
      <c r="L38" s="32"/>
      <c r="M38" s="32"/>
      <c r="P38" s="11"/>
    </row>
    <row r="39" spans="1:16" ht="16.5" x14ac:dyDescent="0.25">
      <c r="A39" s="3"/>
      <c r="B39" s="4">
        <v>2018</v>
      </c>
      <c r="C39" s="4">
        <v>2019</v>
      </c>
      <c r="D39" s="4">
        <v>2020</v>
      </c>
      <c r="E39" s="4">
        <v>2021</v>
      </c>
      <c r="F39" s="4">
        <v>2022</v>
      </c>
      <c r="G39" s="4">
        <v>2023</v>
      </c>
      <c r="H39" s="4" t="s">
        <v>47</v>
      </c>
      <c r="I39" s="4">
        <v>2019</v>
      </c>
      <c r="J39" s="4">
        <v>2020</v>
      </c>
      <c r="K39" s="4">
        <v>2021</v>
      </c>
      <c r="L39" s="4">
        <v>2022</v>
      </c>
      <c r="M39" s="4">
        <v>2023</v>
      </c>
      <c r="N39" s="4" t="s">
        <v>49</v>
      </c>
    </row>
    <row r="40" spans="1:16" ht="16.5" x14ac:dyDescent="0.25">
      <c r="A40" s="3" t="s">
        <v>2</v>
      </c>
      <c r="B40" s="5">
        <v>352918151</v>
      </c>
      <c r="C40" s="5">
        <v>410548373</v>
      </c>
      <c r="D40" s="5">
        <v>355133790</v>
      </c>
      <c r="E40" s="5">
        <v>527050049</v>
      </c>
      <c r="F40" s="5">
        <v>708088232</v>
      </c>
      <c r="G40" s="5">
        <v>845328123</v>
      </c>
      <c r="H40" s="7">
        <f>+G40/$G$40</f>
        <v>1</v>
      </c>
      <c r="I40" s="7">
        <f t="shared" ref="I40" si="22">+C40/B40-1</f>
        <v>0.16329628225894233</v>
      </c>
      <c r="J40" s="7">
        <f t="shared" ref="J40" si="23">+D40/C40-1</f>
        <v>-0.13497698844856953</v>
      </c>
      <c r="K40" s="7">
        <f t="shared" ref="K40" si="24">+E40/D40-1</f>
        <v>0.48408871203159798</v>
      </c>
      <c r="L40" s="7">
        <f t="shared" ref="L40" si="25">+F40/E40-1</f>
        <v>0.34349334250797114</v>
      </c>
      <c r="M40" s="7">
        <f t="shared" ref="M40" si="26">+G40/F40-1</f>
        <v>0.19381750013323207</v>
      </c>
      <c r="N40" s="7">
        <f t="shared" ref="N40" si="27">+AVERAGE(I40:M40)</f>
        <v>0.20994376969663478</v>
      </c>
    </row>
    <row r="41" spans="1:16" ht="16.5" x14ac:dyDescent="0.25">
      <c r="A41" s="3" t="s">
        <v>3</v>
      </c>
      <c r="B41" s="5">
        <v>148497734</v>
      </c>
      <c r="C41" s="5">
        <v>177603176</v>
      </c>
      <c r="D41" s="5">
        <v>146278541</v>
      </c>
      <c r="E41" s="5">
        <v>227411233</v>
      </c>
      <c r="F41" s="5">
        <v>352978349</v>
      </c>
      <c r="G41" s="5">
        <v>420630565</v>
      </c>
      <c r="H41" s="7">
        <f t="shared" ref="H41:H52" si="28">+G41/$G$40</f>
        <v>0.4975944293763902</v>
      </c>
      <c r="I41" s="7">
        <f t="shared" ref="I41:I52" si="29">+C41/B41-1</f>
        <v>0.19599923322735679</v>
      </c>
      <c r="J41" s="7">
        <f t="shared" ref="J41:J52" si="30">+D41/C41-1</f>
        <v>-0.17637429524345893</v>
      </c>
      <c r="K41" s="7">
        <f t="shared" ref="K41:K52" si="31">+E41/D41-1</f>
        <v>0.5546452093749008</v>
      </c>
      <c r="L41" s="7">
        <f t="shared" ref="L41:L52" si="32">+F41/E41-1</f>
        <v>0.55215881090623165</v>
      </c>
      <c r="M41" s="7">
        <f t="shared" ref="M41:M52" si="33">+G41/F41-1</f>
        <v>0.1916610925051383</v>
      </c>
      <c r="N41" s="7">
        <f t="shared" ref="N41:N52" si="34">+AVERAGE(I41:M41)</f>
        <v>0.26361801015403369</v>
      </c>
    </row>
    <row r="42" spans="1:16" ht="16.5" x14ac:dyDescent="0.25">
      <c r="A42" s="2" t="s">
        <v>43</v>
      </c>
      <c r="B42" s="6">
        <f>+B40-B41</f>
        <v>204420417</v>
      </c>
      <c r="C42" s="6">
        <f>+C40-C41</f>
        <v>232945197</v>
      </c>
      <c r="D42" s="6">
        <f>+D40-D41</f>
        <v>208855249</v>
      </c>
      <c r="E42" s="6">
        <f>+E40-E41</f>
        <v>299638816</v>
      </c>
      <c r="F42" s="6">
        <f t="shared" ref="F42" si="35">+F40-F41</f>
        <v>355109883</v>
      </c>
      <c r="G42" s="6">
        <f>+G40-G41</f>
        <v>424697558</v>
      </c>
      <c r="H42" s="8">
        <f t="shared" si="28"/>
        <v>0.5024055706236098</v>
      </c>
      <c r="I42" s="8">
        <f t="shared" si="29"/>
        <v>0.13953977992325495</v>
      </c>
      <c r="J42" s="8">
        <f t="shared" si="30"/>
        <v>-0.10341465851300635</v>
      </c>
      <c r="K42" s="8">
        <f t="shared" si="31"/>
        <v>0.43467218293374077</v>
      </c>
      <c r="L42" s="8">
        <f t="shared" si="32"/>
        <v>0.1851264390258438</v>
      </c>
      <c r="M42" s="8">
        <f t="shared" si="33"/>
        <v>0.19596096400392216</v>
      </c>
      <c r="N42" s="8">
        <f t="shared" si="34"/>
        <v>0.17037694147475108</v>
      </c>
    </row>
    <row r="43" spans="1:16" ht="16.5" x14ac:dyDescent="0.25">
      <c r="A43" s="3" t="s">
        <v>4</v>
      </c>
      <c r="B43" s="5">
        <v>3330745</v>
      </c>
      <c r="C43" s="5">
        <v>3870272</v>
      </c>
      <c r="D43" s="5">
        <v>3076629</v>
      </c>
      <c r="E43" s="5">
        <v>3660911</v>
      </c>
      <c r="F43" s="5">
        <v>5780897</v>
      </c>
      <c r="G43" s="5">
        <v>7921131</v>
      </c>
      <c r="H43" s="7">
        <f t="shared" si="28"/>
        <v>9.3704808635592975E-3</v>
      </c>
      <c r="I43" s="7">
        <f t="shared" si="29"/>
        <v>0.16198388048319523</v>
      </c>
      <c r="J43" s="7">
        <f t="shared" si="30"/>
        <v>-0.205061298017297</v>
      </c>
      <c r="K43" s="7">
        <f t="shared" si="31"/>
        <v>0.18990980062919505</v>
      </c>
      <c r="L43" s="7">
        <f t="shared" si="32"/>
        <v>0.57908700867079266</v>
      </c>
      <c r="M43" s="7">
        <f t="shared" si="33"/>
        <v>0.37022524359108977</v>
      </c>
      <c r="N43" s="7">
        <f t="shared" si="34"/>
        <v>0.21922892707139513</v>
      </c>
    </row>
    <row r="44" spans="1:16" ht="16.5" x14ac:dyDescent="0.25">
      <c r="A44" s="3" t="s">
        <v>5</v>
      </c>
      <c r="B44" s="5">
        <v>165241856</v>
      </c>
      <c r="C44" s="5">
        <v>184894425</v>
      </c>
      <c r="D44" s="5">
        <v>167125770</v>
      </c>
      <c r="E44" s="5">
        <v>219186163</v>
      </c>
      <c r="F44" s="5">
        <v>261250040</v>
      </c>
      <c r="G44" s="5">
        <v>323279640</v>
      </c>
      <c r="H44" s="7">
        <f t="shared" si="28"/>
        <v>0.3824309533825837</v>
      </c>
      <c r="I44" s="7">
        <f t="shared" si="29"/>
        <v>0.1189321487650199</v>
      </c>
      <c r="J44" s="7">
        <f t="shared" si="30"/>
        <v>-9.6101626644502613E-2</v>
      </c>
      <c r="K44" s="7">
        <f t="shared" si="31"/>
        <v>0.31150428207451197</v>
      </c>
      <c r="L44" s="7">
        <f t="shared" si="32"/>
        <v>0.19190936336615372</v>
      </c>
      <c r="M44" s="7">
        <f t="shared" si="33"/>
        <v>0.23743383924457961</v>
      </c>
      <c r="N44" s="7">
        <f t="shared" si="34"/>
        <v>0.15273560136115252</v>
      </c>
    </row>
    <row r="45" spans="1:16" ht="16.5" x14ac:dyDescent="0.25">
      <c r="A45" s="3" t="s">
        <v>6</v>
      </c>
      <c r="B45" s="5">
        <v>18878173</v>
      </c>
      <c r="C45" s="5">
        <v>20821447</v>
      </c>
      <c r="D45" s="5">
        <v>17720835</v>
      </c>
      <c r="E45" s="5">
        <v>18893989</v>
      </c>
      <c r="F45" s="5">
        <v>25337311</v>
      </c>
      <c r="G45" s="5">
        <v>30199877</v>
      </c>
      <c r="H45" s="7">
        <f t="shared" si="28"/>
        <v>3.5725626745769581E-2</v>
      </c>
      <c r="I45" s="7">
        <f t="shared" si="29"/>
        <v>0.10293760948159547</v>
      </c>
      <c r="J45" s="7">
        <f t="shared" si="30"/>
        <v>-0.14891433818216382</v>
      </c>
      <c r="K45" s="7">
        <f t="shared" si="31"/>
        <v>6.620195944491325E-2</v>
      </c>
      <c r="L45" s="7">
        <f t="shared" si="32"/>
        <v>0.34102496831135021</v>
      </c>
      <c r="M45" s="7">
        <f t="shared" si="33"/>
        <v>0.19191326182956026</v>
      </c>
      <c r="N45" s="7">
        <f t="shared" si="34"/>
        <v>0.11063269217705107</v>
      </c>
    </row>
    <row r="46" spans="1:16" ht="16.5" x14ac:dyDescent="0.25">
      <c r="A46" s="3" t="s">
        <v>7</v>
      </c>
      <c r="B46" s="5">
        <v>2963503</v>
      </c>
      <c r="C46" s="5">
        <v>4185622</v>
      </c>
      <c r="D46" s="5">
        <v>3880662</v>
      </c>
      <c r="E46" s="5">
        <v>4545772</v>
      </c>
      <c r="F46" s="5">
        <v>6729869</v>
      </c>
      <c r="G46" s="5">
        <v>6333345</v>
      </c>
      <c r="H46" s="7">
        <f t="shared" si="28"/>
        <v>7.4921735450176191E-3</v>
      </c>
      <c r="I46" s="7">
        <f t="shared" si="29"/>
        <v>0.41238999926775843</v>
      </c>
      <c r="J46" s="7">
        <f t="shared" si="30"/>
        <v>-7.2858944262047531E-2</v>
      </c>
      <c r="K46" s="7">
        <f t="shared" si="31"/>
        <v>0.17139086063151088</v>
      </c>
      <c r="L46" s="7">
        <f t="shared" si="32"/>
        <v>0.48046778412995628</v>
      </c>
      <c r="M46" s="7">
        <f t="shared" si="33"/>
        <v>-5.8920017611041153E-2</v>
      </c>
      <c r="N46" s="7">
        <f t="shared" si="34"/>
        <v>0.18649393643122739</v>
      </c>
    </row>
    <row r="47" spans="1:16" ht="16.5" x14ac:dyDescent="0.25">
      <c r="A47" s="2" t="s">
        <v>44</v>
      </c>
      <c r="B47" s="6">
        <f>+B42+B43-B44-B45-B46</f>
        <v>20667630</v>
      </c>
      <c r="C47" s="6">
        <f>+C42+C43-C44-C45-C46</f>
        <v>26913975</v>
      </c>
      <c r="D47" s="6">
        <f>+D42+D43-D44-D45-D46</f>
        <v>23204611</v>
      </c>
      <c r="E47" s="6">
        <f>+E42+E43-E44-E45-E46</f>
        <v>60673803</v>
      </c>
      <c r="F47" s="6">
        <f t="shared" ref="F47" si="36">+F42+F43-F44-F45-F46</f>
        <v>67573560</v>
      </c>
      <c r="G47" s="6">
        <f>+G42+G43-G44-G45-G46</f>
        <v>72805827</v>
      </c>
      <c r="H47" s="8">
        <f t="shared" si="28"/>
        <v>8.6127297813798159E-2</v>
      </c>
      <c r="I47" s="8">
        <f t="shared" si="29"/>
        <v>0.30222841225626751</v>
      </c>
      <c r="J47" s="8">
        <f t="shared" si="30"/>
        <v>-0.13782297115160436</v>
      </c>
      <c r="K47" s="8">
        <f t="shared" si="31"/>
        <v>1.6147304516330827</v>
      </c>
      <c r="L47" s="8">
        <f t="shared" si="32"/>
        <v>0.11371888127731178</v>
      </c>
      <c r="M47" s="8">
        <f t="shared" si="33"/>
        <v>7.7430684427459484E-2</v>
      </c>
      <c r="N47" s="8">
        <f t="shared" si="34"/>
        <v>0.39405709168850345</v>
      </c>
    </row>
    <row r="48" spans="1:16" ht="16.5" x14ac:dyDescent="0.25">
      <c r="A48" s="3" t="s">
        <v>8</v>
      </c>
      <c r="B48" s="5">
        <v>607821</v>
      </c>
      <c r="C48" s="5">
        <v>832114</v>
      </c>
      <c r="D48" s="5">
        <v>677229</v>
      </c>
      <c r="E48" s="5">
        <v>872010</v>
      </c>
      <c r="F48" s="5">
        <v>5443126</v>
      </c>
      <c r="G48" s="5">
        <v>16122211</v>
      </c>
      <c r="H48" s="7">
        <f t="shared" si="28"/>
        <v>1.9072133721026101E-2</v>
      </c>
      <c r="I48" s="7">
        <f t="shared" si="29"/>
        <v>0.36901160045473924</v>
      </c>
      <c r="J48" s="7">
        <f t="shared" si="30"/>
        <v>-0.18613435178352966</v>
      </c>
      <c r="K48" s="7">
        <f t="shared" si="31"/>
        <v>0.28761467686705688</v>
      </c>
      <c r="L48" s="7">
        <f t="shared" si="32"/>
        <v>5.2420453893877363</v>
      </c>
      <c r="M48" s="7">
        <f t="shared" si="33"/>
        <v>1.9619397015611986</v>
      </c>
      <c r="N48" s="7">
        <f t="shared" si="34"/>
        <v>1.5348954032974402</v>
      </c>
    </row>
    <row r="49" spans="1:16" ht="16.5" x14ac:dyDescent="0.25">
      <c r="A49" s="3" t="s">
        <v>9</v>
      </c>
      <c r="B49" s="5">
        <v>1838107</v>
      </c>
      <c r="C49" s="5">
        <v>4650446</v>
      </c>
      <c r="D49" s="5">
        <v>3330423</v>
      </c>
      <c r="E49" s="5">
        <v>4424706</v>
      </c>
      <c r="F49" s="5">
        <v>7773941</v>
      </c>
      <c r="G49" s="5">
        <v>28014481</v>
      </c>
      <c r="H49" s="7">
        <f t="shared" si="28"/>
        <v>3.3140363177057104E-2</v>
      </c>
      <c r="I49" s="7">
        <f t="shared" si="29"/>
        <v>1.5300191990999434</v>
      </c>
      <c r="J49" s="7">
        <f t="shared" si="30"/>
        <v>-0.28384868892144965</v>
      </c>
      <c r="K49" s="7">
        <f t="shared" si="31"/>
        <v>0.32857177601764098</v>
      </c>
      <c r="L49" s="7">
        <f t="shared" si="32"/>
        <v>0.75693955711407712</v>
      </c>
      <c r="M49" s="7">
        <f t="shared" si="33"/>
        <v>2.6036395182314864</v>
      </c>
      <c r="N49" s="7">
        <f t="shared" si="34"/>
        <v>0.9870642723083396</v>
      </c>
    </row>
    <row r="50" spans="1:16" ht="16.5" x14ac:dyDescent="0.25">
      <c r="A50" s="2" t="s">
        <v>45</v>
      </c>
      <c r="B50" s="6">
        <f>+B47+B48-B49</f>
        <v>19437344</v>
      </c>
      <c r="C50" s="6">
        <f>+C47+C48-C49</f>
        <v>23095643</v>
      </c>
      <c r="D50" s="6">
        <f>+D47+D48-D49</f>
        <v>20551417</v>
      </c>
      <c r="E50" s="6">
        <f>+E47+E48-E49</f>
        <v>57121107</v>
      </c>
      <c r="F50" s="6">
        <f t="shared" ref="F50" si="37">+F47+F48-F49</f>
        <v>65242745</v>
      </c>
      <c r="G50" s="6">
        <f>+G47+G48-G49</f>
        <v>60913557</v>
      </c>
      <c r="H50" s="8">
        <f t="shared" si="28"/>
        <v>7.2059068357767153E-2</v>
      </c>
      <c r="I50" s="8">
        <f t="shared" si="29"/>
        <v>0.18820981920163571</v>
      </c>
      <c r="J50" s="8">
        <f t="shared" si="30"/>
        <v>-0.11016043155845456</v>
      </c>
      <c r="K50" s="8">
        <f t="shared" si="31"/>
        <v>1.7794242606239754</v>
      </c>
      <c r="L50" s="8">
        <f t="shared" si="32"/>
        <v>0.14218278367749426</v>
      </c>
      <c r="M50" s="8">
        <f t="shared" si="33"/>
        <v>-6.6355086684350861E-2</v>
      </c>
      <c r="N50" s="8">
        <f t="shared" si="34"/>
        <v>0.38666026905206002</v>
      </c>
    </row>
    <row r="51" spans="1:16" ht="16.5" x14ac:dyDescent="0.25">
      <c r="A51" s="3" t="s">
        <v>10</v>
      </c>
      <c r="B51" s="5">
        <v>8632227</v>
      </c>
      <c r="C51" s="5">
        <v>9384266</v>
      </c>
      <c r="D51" s="5">
        <v>7012081</v>
      </c>
      <c r="E51" s="5">
        <v>17103682</v>
      </c>
      <c r="F51" s="5">
        <v>23778540</v>
      </c>
      <c r="G51" s="5">
        <v>18643542</v>
      </c>
      <c r="H51" s="7">
        <f t="shared" si="28"/>
        <v>2.2054799187131741E-2</v>
      </c>
      <c r="I51" s="7">
        <f t="shared" si="29"/>
        <v>8.7119928611701258E-2</v>
      </c>
      <c r="J51" s="7">
        <f t="shared" si="30"/>
        <v>-0.25278322247046281</v>
      </c>
      <c r="K51" s="7">
        <f t="shared" si="31"/>
        <v>1.4391734778876626</v>
      </c>
      <c r="L51" s="7">
        <f t="shared" si="32"/>
        <v>0.39025854199113374</v>
      </c>
      <c r="M51" s="7">
        <f t="shared" si="33"/>
        <v>-0.21595093727369297</v>
      </c>
      <c r="N51" s="7">
        <f t="shared" si="34"/>
        <v>0.28956355774926834</v>
      </c>
    </row>
    <row r="52" spans="1:16" ht="16.5" x14ac:dyDescent="0.25">
      <c r="A52" s="2" t="s">
        <v>46</v>
      </c>
      <c r="B52" s="6">
        <f>+B50-B51</f>
        <v>10805117</v>
      </c>
      <c r="C52" s="6">
        <f>+C50-C51</f>
        <v>13711377</v>
      </c>
      <c r="D52" s="6">
        <f>+D50-D51</f>
        <v>13539336</v>
      </c>
      <c r="E52" s="6">
        <f>+E50-E51</f>
        <v>40017425</v>
      </c>
      <c r="F52" s="6">
        <f t="shared" ref="F52" si="38">+F50-F51</f>
        <v>41464205</v>
      </c>
      <c r="G52" s="6">
        <f>+G50-G51</f>
        <v>42270015</v>
      </c>
      <c r="H52" s="8">
        <f t="shared" si="28"/>
        <v>5.0004269170635413E-2</v>
      </c>
      <c r="I52" s="8">
        <f t="shared" si="29"/>
        <v>0.26897071082154866</v>
      </c>
      <c r="J52" s="8">
        <f t="shared" si="30"/>
        <v>-1.2547317457612062E-2</v>
      </c>
      <c r="K52" s="8">
        <f t="shared" si="31"/>
        <v>1.9556416208298546</v>
      </c>
      <c r="L52" s="8">
        <f t="shared" si="32"/>
        <v>3.6153750522428751E-2</v>
      </c>
      <c r="M52" s="8">
        <f t="shared" si="33"/>
        <v>1.943387073259939E-2</v>
      </c>
      <c r="N52" s="8">
        <f t="shared" si="34"/>
        <v>0.45353052708976377</v>
      </c>
    </row>
    <row r="53" spans="1:16" ht="16.5" x14ac:dyDescent="0.25">
      <c r="A53" s="2"/>
      <c r="B53" s="22"/>
      <c r="C53" s="22"/>
      <c r="D53" s="22"/>
      <c r="E53" s="22"/>
      <c r="F53" s="22"/>
      <c r="G53" s="22"/>
      <c r="H53" s="23"/>
      <c r="I53" s="23"/>
      <c r="J53" s="23"/>
      <c r="K53" s="23"/>
      <c r="L53" s="23"/>
      <c r="M53" s="23"/>
      <c r="N53" s="23"/>
    </row>
    <row r="54" spans="1:16" ht="16.5" x14ac:dyDescent="0.25">
      <c r="A54" s="3"/>
      <c r="B54" s="4">
        <v>2018</v>
      </c>
      <c r="C54" s="4">
        <v>2019</v>
      </c>
      <c r="D54" s="4">
        <v>2020</v>
      </c>
      <c r="E54" s="4">
        <v>2021</v>
      </c>
      <c r="F54" s="4">
        <v>2022</v>
      </c>
      <c r="G54" s="4">
        <v>2023</v>
      </c>
      <c r="H54" s="4" t="s">
        <v>47</v>
      </c>
      <c r="I54" s="4">
        <v>2019</v>
      </c>
      <c r="J54" s="4">
        <v>2020</v>
      </c>
      <c r="K54" s="4">
        <v>2021</v>
      </c>
      <c r="L54" s="4">
        <v>2022</v>
      </c>
      <c r="M54" s="4">
        <v>2023</v>
      </c>
      <c r="N54" s="23"/>
    </row>
    <row r="55" spans="1:16" ht="16.5" x14ac:dyDescent="0.25">
      <c r="A55" s="3" t="s">
        <v>36</v>
      </c>
      <c r="B55" s="5">
        <v>9333694</v>
      </c>
      <c r="C55" s="5">
        <v>43381775</v>
      </c>
      <c r="D55" s="5">
        <v>40358457</v>
      </c>
      <c r="E55" s="5">
        <v>57808255</v>
      </c>
      <c r="F55" s="5">
        <v>42045816</v>
      </c>
      <c r="G55" s="5">
        <v>50831107</v>
      </c>
    </row>
    <row r="56" spans="1:16" ht="16.5" x14ac:dyDescent="0.25">
      <c r="A56" s="2" t="s">
        <v>50</v>
      </c>
      <c r="B56" s="6">
        <f>+B47+B55</f>
        <v>30001324</v>
      </c>
      <c r="C56" s="6">
        <f t="shared" ref="C56:G56" si="39">+C47+C55</f>
        <v>70295750</v>
      </c>
      <c r="D56" s="6">
        <f t="shared" si="39"/>
        <v>63563068</v>
      </c>
      <c r="E56" s="6">
        <f t="shared" si="39"/>
        <v>118482058</v>
      </c>
      <c r="F56" s="6">
        <f t="shared" si="39"/>
        <v>109619376</v>
      </c>
      <c r="G56" s="6">
        <f t="shared" si="39"/>
        <v>123636934</v>
      </c>
      <c r="H56" s="8">
        <f t="shared" ref="H56" si="40">+G56/$G$40</f>
        <v>0.14625910417036958</v>
      </c>
      <c r="I56" s="8">
        <f t="shared" ref="I56" si="41">+C56/B56-1</f>
        <v>1.3430882583715307</v>
      </c>
      <c r="J56" s="8">
        <f t="shared" ref="J56" si="42">+D56/C56-1</f>
        <v>-9.5776515649950378E-2</v>
      </c>
      <c r="K56" s="8">
        <f t="shared" ref="K56" si="43">+E56/D56-1</f>
        <v>0.86400785437229044</v>
      </c>
      <c r="L56" s="8">
        <f t="shared" ref="L56" si="44">+F56/E56-1</f>
        <v>-7.4801891101520246E-2</v>
      </c>
      <c r="M56" s="8">
        <f t="shared" ref="M56" si="45">+G56/F56-1</f>
        <v>0.12787482023251062</v>
      </c>
      <c r="N56" s="8">
        <f t="shared" ref="N56" si="46">+AVERAGE(I56:M56)</f>
        <v>0.43287850524497229</v>
      </c>
    </row>
    <row r="58" spans="1:16" ht="16.5" x14ac:dyDescent="0.25">
      <c r="B58" s="4">
        <v>2018</v>
      </c>
      <c r="C58" s="4">
        <v>2019</v>
      </c>
      <c r="D58" s="4">
        <v>2020</v>
      </c>
      <c r="E58" s="4">
        <v>2021</v>
      </c>
      <c r="F58" s="4">
        <v>2022</v>
      </c>
      <c r="G58" s="4">
        <v>2023</v>
      </c>
      <c r="H58" s="4" t="s">
        <v>49</v>
      </c>
      <c r="I58" s="4">
        <v>2019</v>
      </c>
      <c r="J58" s="4">
        <v>2020</v>
      </c>
      <c r="K58" s="4">
        <v>2021</v>
      </c>
      <c r="L58" s="4">
        <v>2022</v>
      </c>
      <c r="M58" s="4">
        <v>2023</v>
      </c>
      <c r="N58" s="4" t="s">
        <v>49</v>
      </c>
    </row>
    <row r="59" spans="1:16" ht="16.5" x14ac:dyDescent="0.25">
      <c r="A59" s="3" t="s">
        <v>51</v>
      </c>
      <c r="B59" s="7">
        <f>+B42/B40</f>
        <v>0.5792289697222176</v>
      </c>
      <c r="C59" s="7">
        <f t="shared" ref="C59:G59" si="47">+C42/C40</f>
        <v>0.56740012217756375</v>
      </c>
      <c r="D59" s="7">
        <f t="shared" si="47"/>
        <v>0.58810300478588651</v>
      </c>
      <c r="E59" s="7">
        <f t="shared" si="47"/>
        <v>0.56852061121808184</v>
      </c>
      <c r="F59" s="7">
        <f t="shared" si="47"/>
        <v>0.50150513304957733</v>
      </c>
      <c r="G59" s="7">
        <f t="shared" si="47"/>
        <v>0.5024055706236098</v>
      </c>
      <c r="H59" s="8">
        <f>+AVERAGE(B59:G59)</f>
        <v>0.55119390192948947</v>
      </c>
      <c r="I59" s="7">
        <f t="shared" ref="I59:M62" si="48">+C59/B59-1</f>
        <v>-2.0421712592045727E-2</v>
      </c>
      <c r="J59" s="7">
        <f t="shared" si="48"/>
        <v>3.6487272031012985E-2</v>
      </c>
      <c r="K59" s="7">
        <f t="shared" si="48"/>
        <v>-3.3297557415021384E-2</v>
      </c>
      <c r="L59" s="7">
        <f t="shared" si="48"/>
        <v>-0.11787695440789869</v>
      </c>
      <c r="M59" s="7">
        <f t="shared" si="48"/>
        <v>1.7954703046747511E-3</v>
      </c>
      <c r="N59" s="8">
        <f t="shared" ref="N59:N62" si="49">+AVERAGE(I59:M59)</f>
        <v>-2.6662696415855613E-2</v>
      </c>
    </row>
    <row r="60" spans="1:16" ht="16.5" x14ac:dyDescent="0.25">
      <c r="A60" s="3" t="s">
        <v>52</v>
      </c>
      <c r="B60" s="7">
        <f>+B47/B40</f>
        <v>5.856210552344189E-2</v>
      </c>
      <c r="C60" s="7">
        <f t="shared" ref="C60:G60" si="50">+C47/C40</f>
        <v>6.5556160418640846E-2</v>
      </c>
      <c r="D60" s="7">
        <f t="shared" si="50"/>
        <v>6.5340476331469333E-2</v>
      </c>
      <c r="E60" s="7">
        <f t="shared" si="50"/>
        <v>0.11511962310812725</v>
      </c>
      <c r="F60" s="7">
        <f t="shared" si="50"/>
        <v>9.543098860595102E-2</v>
      </c>
      <c r="G60" s="7">
        <f t="shared" si="50"/>
        <v>8.6127297813798159E-2</v>
      </c>
      <c r="H60" s="8">
        <f t="shared" ref="H60:H62" si="51">+AVERAGE(B60:G60)</f>
        <v>8.102277530023809E-2</v>
      </c>
      <c r="I60" s="7">
        <f t="shared" si="48"/>
        <v>0.1194297034350873</v>
      </c>
      <c r="J60" s="7">
        <f t="shared" si="48"/>
        <v>-3.2900658884559286E-3</v>
      </c>
      <c r="K60" s="7">
        <f t="shared" si="48"/>
        <v>0.76184242251511169</v>
      </c>
      <c r="L60" s="7">
        <f t="shared" si="48"/>
        <v>-0.17102761432500069</v>
      </c>
      <c r="M60" s="7">
        <f t="shared" si="48"/>
        <v>-9.7491296360443291E-2</v>
      </c>
      <c r="N60" s="8">
        <f t="shared" si="49"/>
        <v>0.12189262987525981</v>
      </c>
    </row>
    <row r="61" spans="1:16" ht="16.5" x14ac:dyDescent="0.25">
      <c r="A61" s="3" t="s">
        <v>53</v>
      </c>
      <c r="B61" s="7">
        <f>+B56/B40</f>
        <v>8.5009297240707798E-2</v>
      </c>
      <c r="C61" s="7">
        <f t="shared" ref="C61:G61" si="52">+C56/C40</f>
        <v>0.17122403746561676</v>
      </c>
      <c r="D61" s="7">
        <f t="shared" si="52"/>
        <v>0.17898344170516695</v>
      </c>
      <c r="E61" s="7">
        <f t="shared" si="52"/>
        <v>0.22480229007625044</v>
      </c>
      <c r="F61" s="7">
        <f t="shared" si="52"/>
        <v>0.15481033442736272</v>
      </c>
      <c r="G61" s="7">
        <f t="shared" si="52"/>
        <v>0.14625910417036958</v>
      </c>
      <c r="H61" s="8">
        <f t="shared" si="51"/>
        <v>0.16018141751424572</v>
      </c>
      <c r="I61" s="7">
        <f t="shared" si="48"/>
        <v>1.0141801311542182</v>
      </c>
      <c r="J61" s="7">
        <f t="shared" si="48"/>
        <v>4.5317260090355749E-2</v>
      </c>
      <c r="K61" s="7">
        <f t="shared" si="48"/>
        <v>0.25599490061521579</v>
      </c>
      <c r="L61" s="7">
        <f t="shared" si="48"/>
        <v>-0.31134894411061032</v>
      </c>
      <c r="M61" s="7">
        <f t="shared" si="48"/>
        <v>-5.523681793353008E-2</v>
      </c>
      <c r="N61" s="8">
        <f t="shared" si="49"/>
        <v>0.18978130596312986</v>
      </c>
    </row>
    <row r="62" spans="1:16" ht="16.5" x14ac:dyDescent="0.25">
      <c r="A62" s="3" t="s">
        <v>54</v>
      </c>
      <c r="B62" s="7">
        <f>+B52/B40</f>
        <v>3.0616495551117177E-2</v>
      </c>
      <c r="C62" s="7">
        <f t="shared" ref="C62:G62" si="53">+C52/C40</f>
        <v>3.3397713647741092E-2</v>
      </c>
      <c r="D62" s="7">
        <f t="shared" si="53"/>
        <v>3.8124606503931943E-2</v>
      </c>
      <c r="E62" s="7">
        <f t="shared" si="53"/>
        <v>7.5927182012272235E-2</v>
      </c>
      <c r="F62" s="7">
        <f t="shared" si="53"/>
        <v>5.8557963719978894E-2</v>
      </c>
      <c r="G62" s="7">
        <f t="shared" si="53"/>
        <v>5.0004269170635413E-2</v>
      </c>
      <c r="H62" s="8">
        <f t="shared" si="51"/>
        <v>4.7771371767612793E-2</v>
      </c>
      <c r="I62" s="7">
        <f t="shared" si="48"/>
        <v>9.0840510860572099E-2</v>
      </c>
      <c r="J62" s="7">
        <f t="shared" si="48"/>
        <v>0.14153342669043933</v>
      </c>
      <c r="K62" s="7">
        <f t="shared" si="48"/>
        <v>0.99155319818032894</v>
      </c>
      <c r="L62" s="7">
        <f t="shared" si="48"/>
        <v>-0.22876152955980811</v>
      </c>
      <c r="M62" s="7">
        <f t="shared" si="48"/>
        <v>-0.1460722676465801</v>
      </c>
      <c r="N62" s="8">
        <f t="shared" si="49"/>
        <v>0.16981866770499043</v>
      </c>
    </row>
    <row r="63" spans="1:16" ht="16.5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1:16" ht="16.5" x14ac:dyDescent="0.25">
      <c r="A64" s="3"/>
      <c r="B64" s="3"/>
      <c r="C64" s="3"/>
      <c r="D64" s="3"/>
      <c r="E64" s="3"/>
      <c r="F64" s="3"/>
      <c r="G64" s="3"/>
      <c r="I64" s="31" t="s">
        <v>48</v>
      </c>
      <c r="J64" s="32"/>
      <c r="K64" s="32"/>
      <c r="L64" s="32"/>
      <c r="M64" s="32"/>
      <c r="O64" s="3"/>
    </row>
    <row r="65" spans="1:15" ht="16.5" x14ac:dyDescent="0.25">
      <c r="B65" s="4">
        <v>2018</v>
      </c>
      <c r="C65" s="4">
        <v>2019</v>
      </c>
      <c r="D65" s="4">
        <v>2020</v>
      </c>
      <c r="E65" s="4">
        <v>2021</v>
      </c>
      <c r="F65" s="4">
        <v>2022</v>
      </c>
      <c r="G65" s="4">
        <v>2023</v>
      </c>
      <c r="H65" s="4" t="s">
        <v>47</v>
      </c>
      <c r="I65" s="4">
        <v>2019</v>
      </c>
      <c r="J65" s="4">
        <v>2020</v>
      </c>
      <c r="K65" s="4">
        <v>2021</v>
      </c>
      <c r="L65" s="4">
        <v>2022</v>
      </c>
      <c r="M65" s="4">
        <v>2023</v>
      </c>
      <c r="N65" s="4" t="s">
        <v>49</v>
      </c>
    </row>
    <row r="66" spans="1:15" ht="16.5" x14ac:dyDescent="0.25">
      <c r="A66" s="3" t="s">
        <v>55</v>
      </c>
      <c r="B66" s="5">
        <f>+B12-B25</f>
        <v>-2330569</v>
      </c>
      <c r="C66" s="5">
        <f t="shared" ref="C66:G66" si="54">+C12-C25</f>
        <v>-32516374</v>
      </c>
      <c r="D66" s="5">
        <f t="shared" si="54"/>
        <v>-14502593</v>
      </c>
      <c r="E66" s="5">
        <f t="shared" si="54"/>
        <v>21662051</v>
      </c>
      <c r="F66" s="5">
        <f t="shared" si="54"/>
        <v>-39177996</v>
      </c>
      <c r="G66" s="5">
        <f t="shared" si="54"/>
        <v>-20283185</v>
      </c>
      <c r="H66" s="7">
        <f>+G66/$G$40</f>
        <v>-2.3994451915330398E-2</v>
      </c>
      <c r="I66" s="7">
        <f t="shared" ref="I66:I67" si="55">+C66/B66-1</f>
        <v>12.952118130808399</v>
      </c>
      <c r="J66" s="7">
        <f t="shared" ref="J66:J67" si="56">+D66/C66-1</f>
        <v>-0.55399107538866421</v>
      </c>
      <c r="K66" s="7">
        <f t="shared" ref="K66:K67" si="57">+E66/D66-1</f>
        <v>-2.4936674427807497</v>
      </c>
      <c r="L66" s="7">
        <f t="shared" ref="L66:L67" si="58">+F66/E66-1</f>
        <v>-2.8086004875530945</v>
      </c>
      <c r="M66" s="7">
        <f t="shared" ref="M66:M67" si="59">+G66/F66-1</f>
        <v>-0.48228120192773516</v>
      </c>
      <c r="N66" s="8">
        <f t="shared" ref="N66:N67" si="60">+AVERAGE(I66:M66)</f>
        <v>1.3227155846316312</v>
      </c>
    </row>
    <row r="67" spans="1:15" ht="16.5" x14ac:dyDescent="0.25">
      <c r="A67" s="3" t="s">
        <v>56</v>
      </c>
      <c r="B67" s="5">
        <f>+B7+B8+B9-B21</f>
        <v>-11562454</v>
      </c>
      <c r="C67" s="5">
        <f t="shared" ref="C67:G67" si="61">+C7+C8+C9-C21</f>
        <v>-47176269</v>
      </c>
      <c r="D67" s="5">
        <f t="shared" si="61"/>
        <v>-14223780</v>
      </c>
      <c r="E67" s="5">
        <f t="shared" si="61"/>
        <v>-12899774</v>
      </c>
      <c r="F67" s="5">
        <f t="shared" si="61"/>
        <v>-76423712</v>
      </c>
      <c r="G67" s="5">
        <f t="shared" si="61"/>
        <v>-96025984</v>
      </c>
      <c r="H67" s="7">
        <f>+G67/$G$40</f>
        <v>-0.11359610710597404</v>
      </c>
      <c r="I67" s="7">
        <f t="shared" si="55"/>
        <v>3.0801259836363455</v>
      </c>
      <c r="J67" s="7">
        <f t="shared" si="56"/>
        <v>-0.69849714058566181</v>
      </c>
      <c r="K67" s="7">
        <f t="shared" si="57"/>
        <v>-9.3083976270724067E-2</v>
      </c>
      <c r="L67" s="7">
        <f t="shared" si="58"/>
        <v>4.9244225518989708</v>
      </c>
      <c r="M67" s="7">
        <f t="shared" si="59"/>
        <v>0.25649463349804313</v>
      </c>
      <c r="N67" s="8">
        <f t="shared" si="60"/>
        <v>1.4938924104353948</v>
      </c>
    </row>
    <row r="69" spans="1:15" ht="16.5" x14ac:dyDescent="0.25">
      <c r="A69" s="3" t="s">
        <v>57</v>
      </c>
      <c r="B69" s="5">
        <f>+B23</f>
        <v>0</v>
      </c>
      <c r="C69" s="5">
        <f t="shared" ref="C69:G69" si="62">+C23</f>
        <v>0</v>
      </c>
      <c r="D69" s="5">
        <f t="shared" si="62"/>
        <v>26828371</v>
      </c>
      <c r="E69" s="5">
        <f t="shared" si="62"/>
        <v>30309089</v>
      </c>
      <c r="F69" s="5">
        <f t="shared" si="62"/>
        <v>36793164</v>
      </c>
      <c r="G69" s="5">
        <f t="shared" si="62"/>
        <v>41891309</v>
      </c>
      <c r="H69" s="7">
        <f t="shared" ref="H69:H74" si="63">+G69/$G$40</f>
        <v>4.955627035254806E-2</v>
      </c>
      <c r="I69" s="7"/>
      <c r="J69" s="7"/>
      <c r="K69" s="7">
        <f t="shared" ref="K69" si="64">+E69/D69-1</f>
        <v>0.12974019182901553</v>
      </c>
      <c r="L69" s="7">
        <f t="shared" ref="L69" si="65">+F69/E69-1</f>
        <v>0.21393170213726975</v>
      </c>
      <c r="M69" s="7">
        <f t="shared" ref="M69" si="66">+G69/F69-1</f>
        <v>0.13856228836421902</v>
      </c>
      <c r="N69" s="8">
        <f t="shared" ref="N69" si="67">+AVERAGE(I69:M69)</f>
        <v>0.16074472744350143</v>
      </c>
    </row>
    <row r="70" spans="1:15" ht="16.5" x14ac:dyDescent="0.25">
      <c r="A70" s="3" t="s">
        <v>58</v>
      </c>
      <c r="B70" s="5">
        <f>+B27</f>
        <v>264971</v>
      </c>
      <c r="C70" s="5">
        <f t="shared" ref="C70:G70" si="68">+C27</f>
        <v>125275</v>
      </c>
      <c r="D70" s="5">
        <f t="shared" si="68"/>
        <v>100262066</v>
      </c>
      <c r="E70" s="5">
        <f t="shared" si="68"/>
        <v>107669003</v>
      </c>
      <c r="F70" s="5">
        <f t="shared" si="68"/>
        <v>89962817</v>
      </c>
      <c r="G70" s="5">
        <f t="shared" si="68"/>
        <v>105453033</v>
      </c>
      <c r="H70" s="7">
        <f t="shared" si="63"/>
        <v>0.12474804768798636</v>
      </c>
      <c r="I70" s="7">
        <f t="shared" ref="I70:I72" si="69">+C70/B70-1</f>
        <v>-0.52721241192432378</v>
      </c>
      <c r="J70" s="7">
        <f t="shared" ref="J70:J72" si="70">+D70/C70-1</f>
        <v>799.33578926362009</v>
      </c>
      <c r="K70" s="7">
        <f t="shared" ref="K70:K72" si="71">+E70/D70-1</f>
        <v>7.3875766733153103E-2</v>
      </c>
      <c r="L70" s="7">
        <f t="shared" ref="L70:L72" si="72">+F70/E70-1</f>
        <v>-0.16445017142027407</v>
      </c>
      <c r="M70" s="7">
        <f t="shared" ref="M70:M72" si="73">+G70/F70-1</f>
        <v>0.1721846482419509</v>
      </c>
      <c r="N70" s="8">
        <f>+AVERAGE(I70:M70)</f>
        <v>159.77803741905012</v>
      </c>
    </row>
    <row r="71" spans="1:15" ht="16.5" x14ac:dyDescent="0.25">
      <c r="A71" s="9" t="s">
        <v>59</v>
      </c>
      <c r="B71" s="6">
        <f>SUM(B69:B70)</f>
        <v>264971</v>
      </c>
      <c r="C71" s="6">
        <f t="shared" ref="C71:G71" si="74">SUM(C69:C70)</f>
        <v>125275</v>
      </c>
      <c r="D71" s="6">
        <f t="shared" si="74"/>
        <v>127090437</v>
      </c>
      <c r="E71" s="6">
        <f t="shared" si="74"/>
        <v>137978092</v>
      </c>
      <c r="F71" s="6">
        <f t="shared" si="74"/>
        <v>126755981</v>
      </c>
      <c r="G71" s="6">
        <f t="shared" si="74"/>
        <v>147344342</v>
      </c>
      <c r="H71" s="8">
        <f t="shared" si="63"/>
        <v>0.17430431804053442</v>
      </c>
      <c r="I71" s="8">
        <f t="shared" si="69"/>
        <v>-0.52721241192432378</v>
      </c>
      <c r="J71" s="8">
        <f t="shared" si="70"/>
        <v>1013.4916144482139</v>
      </c>
      <c r="K71" s="8">
        <f t="shared" si="71"/>
        <v>8.5668562143664584E-2</v>
      </c>
      <c r="L71" s="8">
        <f t="shared" si="72"/>
        <v>-8.1332556765605912E-2</v>
      </c>
      <c r="M71" s="8">
        <f t="shared" si="73"/>
        <v>0.16242516398496409</v>
      </c>
      <c r="N71" s="8">
        <f t="shared" ref="N71:N72" si="75">+AVERAGE(I71:M71)</f>
        <v>202.62623264113051</v>
      </c>
    </row>
    <row r="72" spans="1:15" ht="16.5" x14ac:dyDescent="0.25">
      <c r="A72" s="10" t="s">
        <v>60</v>
      </c>
      <c r="B72" s="5">
        <f>+B49</f>
        <v>1838107</v>
      </c>
      <c r="C72" s="5">
        <f t="shared" ref="C72:G72" si="76">+C49</f>
        <v>4650446</v>
      </c>
      <c r="D72" s="5">
        <f t="shared" si="76"/>
        <v>3330423</v>
      </c>
      <c r="E72" s="5">
        <f t="shared" si="76"/>
        <v>4424706</v>
      </c>
      <c r="F72" s="5">
        <f t="shared" si="76"/>
        <v>7773941</v>
      </c>
      <c r="G72" s="5">
        <f t="shared" si="76"/>
        <v>28014481</v>
      </c>
      <c r="H72" s="7">
        <f t="shared" si="63"/>
        <v>3.3140363177057104E-2</v>
      </c>
      <c r="I72" s="7">
        <f t="shared" si="69"/>
        <v>1.5300191990999434</v>
      </c>
      <c r="J72" s="7">
        <f t="shared" si="70"/>
        <v>-0.28384868892144965</v>
      </c>
      <c r="K72" s="7">
        <f t="shared" si="71"/>
        <v>0.32857177601764098</v>
      </c>
      <c r="L72" s="7">
        <f t="shared" si="72"/>
        <v>0.75693955711407712</v>
      </c>
      <c r="M72" s="7">
        <f t="shared" si="73"/>
        <v>2.6036395182314864</v>
      </c>
      <c r="N72" s="8">
        <f t="shared" si="75"/>
        <v>0.9870642723083396</v>
      </c>
    </row>
    <row r="73" spans="1:15" x14ac:dyDescent="0.25">
      <c r="G73" s="26"/>
    </row>
    <row r="74" spans="1:15" ht="16.5" x14ac:dyDescent="0.25">
      <c r="A74" s="10" t="s">
        <v>61</v>
      </c>
      <c r="B74" s="5">
        <f>+B13+B14</f>
        <v>50252703</v>
      </c>
      <c r="C74" s="5">
        <f t="shared" ref="C74:G74" si="77">+C13+C14</f>
        <v>179372496</v>
      </c>
      <c r="D74" s="5">
        <f t="shared" si="77"/>
        <v>180314345</v>
      </c>
      <c r="E74" s="5">
        <f t="shared" si="77"/>
        <v>190701441</v>
      </c>
      <c r="F74" s="5">
        <f t="shared" si="77"/>
        <v>202403456</v>
      </c>
      <c r="G74" s="5">
        <f t="shared" si="77"/>
        <v>244067187</v>
      </c>
      <c r="H74" s="7">
        <f t="shared" si="63"/>
        <v>0.2887247926093191</v>
      </c>
      <c r="I74" s="7">
        <f t="shared" ref="I74" si="78">+C74/B74-1</f>
        <v>2.5694099081595669</v>
      </c>
      <c r="J74" s="7">
        <f t="shared" ref="J74" si="79">+D74/C74-1</f>
        <v>5.2507994313688577E-3</v>
      </c>
      <c r="K74" s="7">
        <f t="shared" ref="K74" si="80">+E74/D74-1</f>
        <v>5.7605488903281765E-2</v>
      </c>
      <c r="L74" s="7">
        <f t="shared" ref="L74" si="81">+F74/E74-1</f>
        <v>6.1363012983210785E-2</v>
      </c>
      <c r="M74" s="7">
        <f t="shared" ref="M74" si="82">+G74/F74-1</f>
        <v>0.20584495849715134</v>
      </c>
      <c r="N74" s="8">
        <f t="shared" ref="N74" si="83">+AVERAGE(I74:M74)</f>
        <v>0.579894833594916</v>
      </c>
    </row>
    <row r="75" spans="1:15" ht="16.5" x14ac:dyDescent="0.25">
      <c r="A75" s="10" t="s">
        <v>98</v>
      </c>
      <c r="B75" s="24"/>
      <c r="C75" s="24">
        <f>+C74-B74+C55</f>
        <v>172501568</v>
      </c>
      <c r="D75" s="24">
        <f t="shared" ref="D75:G75" si="84">+D74-C74+D55</f>
        <v>41300306</v>
      </c>
      <c r="E75" s="24">
        <f t="shared" si="84"/>
        <v>68195351</v>
      </c>
      <c r="F75" s="24">
        <f t="shared" si="84"/>
        <v>53747831</v>
      </c>
      <c r="G75" s="24">
        <f t="shared" si="84"/>
        <v>92494838</v>
      </c>
      <c r="H75" s="25"/>
      <c r="I75" s="25"/>
      <c r="J75" s="25"/>
      <c r="K75" s="25"/>
      <c r="L75" s="25"/>
      <c r="M75" s="25"/>
      <c r="N75" s="23"/>
    </row>
    <row r="76" spans="1:15" ht="16.5" x14ac:dyDescent="0.25">
      <c r="A76" s="10"/>
      <c r="B76" s="10"/>
      <c r="C76" s="27"/>
      <c r="D76" s="27"/>
      <c r="E76" s="27"/>
      <c r="F76" s="27"/>
      <c r="G76" s="27"/>
      <c r="H76" s="10"/>
      <c r="I76" s="10"/>
      <c r="J76" s="10"/>
      <c r="K76" s="10"/>
      <c r="L76" s="10"/>
      <c r="M76" s="10"/>
      <c r="N76" s="10"/>
      <c r="O76" s="10"/>
    </row>
    <row r="77" spans="1:15" ht="16.5" x14ac:dyDescent="0.25">
      <c r="B77" s="4">
        <v>2018</v>
      </c>
      <c r="C77" s="4">
        <v>2019</v>
      </c>
      <c r="D77" s="4">
        <v>2020</v>
      </c>
      <c r="E77" s="4">
        <v>2021</v>
      </c>
      <c r="F77" s="4">
        <v>2022</v>
      </c>
      <c r="G77" s="4">
        <v>2023</v>
      </c>
    </row>
    <row r="78" spans="1:15" ht="16.5" x14ac:dyDescent="0.25">
      <c r="A78" s="10" t="s">
        <v>82</v>
      </c>
      <c r="B78" s="19">
        <f>+B9/B40</f>
        <v>2.9885827549855887E-2</v>
      </c>
      <c r="C78" s="19">
        <f t="shared" ref="C78:G78" si="85">+C9/C40</f>
        <v>2.1386831802156479E-2</v>
      </c>
      <c r="D78" s="19">
        <f t="shared" si="85"/>
        <v>3.0225290586964423E-2</v>
      </c>
      <c r="E78" s="19">
        <f t="shared" si="85"/>
        <v>3.2391111683588894E-2</v>
      </c>
      <c r="F78" s="19">
        <f t="shared" si="85"/>
        <v>2.9706739992820554E-2</v>
      </c>
      <c r="G78" s="19">
        <f t="shared" si="85"/>
        <v>2.2729660207933246E-2</v>
      </c>
    </row>
    <row r="79" spans="1:15" ht="16.5" x14ac:dyDescent="0.25">
      <c r="A79" s="10" t="s">
        <v>83</v>
      </c>
      <c r="B79" s="19">
        <f>+B8/B40</f>
        <v>2.4955777919169704E-2</v>
      </c>
      <c r="C79" s="19">
        <f t="shared" ref="C79:G79" si="86">+C8/C40</f>
        <v>3.2169368748174283E-2</v>
      </c>
      <c r="D79" s="19">
        <f t="shared" si="86"/>
        <v>3.175084803955152E-2</v>
      </c>
      <c r="E79" s="19">
        <f t="shared" si="86"/>
        <v>3.7591331293093194E-2</v>
      </c>
      <c r="F79" s="19">
        <f t="shared" si="86"/>
        <v>3.6370737199315578E-2</v>
      </c>
      <c r="G79" s="19">
        <f t="shared" si="86"/>
        <v>2.6511391719070961E-2</v>
      </c>
    </row>
    <row r="80" spans="1:15" ht="16.5" x14ac:dyDescent="0.25">
      <c r="A80" s="10" t="s">
        <v>84</v>
      </c>
      <c r="B80" s="19">
        <f>+B21/B40</f>
        <v>0.12763631984459761</v>
      </c>
      <c r="C80" s="19">
        <f t="shared" ref="C80:G80" si="87">+C21/C40</f>
        <v>0.19404078115783935</v>
      </c>
      <c r="D80" s="19">
        <f t="shared" si="87"/>
        <v>0.12481128309418262</v>
      </c>
      <c r="E80" s="19">
        <f t="shared" si="87"/>
        <v>0.11292877993831664</v>
      </c>
      <c r="F80" s="19">
        <f t="shared" si="87"/>
        <v>0.19581965175209973</v>
      </c>
      <c r="G80" s="19">
        <f t="shared" si="87"/>
        <v>0.20063066327204165</v>
      </c>
    </row>
    <row r="81" spans="1:7" ht="16.5" x14ac:dyDescent="0.25">
      <c r="A81" s="10" t="s">
        <v>85</v>
      </c>
      <c r="B81" s="19">
        <f>+B66/B40</f>
        <v>-6.6037096516466786E-3</v>
      </c>
      <c r="C81" s="19">
        <f t="shared" ref="C81:G81" si="88">+C66/C40</f>
        <v>-7.9202296582965639E-2</v>
      </c>
      <c r="D81" s="19">
        <f t="shared" si="88"/>
        <v>-4.0836984281332395E-2</v>
      </c>
      <c r="E81" s="19">
        <f t="shared" si="88"/>
        <v>4.1100557795413467E-2</v>
      </c>
      <c r="F81" s="19">
        <f t="shared" si="88"/>
        <v>-5.5329257329049919E-2</v>
      </c>
      <c r="G81" s="19">
        <f t="shared" si="88"/>
        <v>-2.3994451915330398E-2</v>
      </c>
    </row>
    <row r="83" spans="1:7" ht="16.5" x14ac:dyDescent="0.25">
      <c r="A83" s="3" t="s">
        <v>86</v>
      </c>
      <c r="B83" s="20">
        <f>+B30/B18</f>
        <v>0.61836270325228593</v>
      </c>
      <c r="C83" s="20">
        <f t="shared" ref="C83:G83" si="89">+C30/C18</f>
        <v>0.8197160492430331</v>
      </c>
      <c r="D83" s="20">
        <f t="shared" si="89"/>
        <v>0.79048794753312213</v>
      </c>
      <c r="E83" s="20">
        <f t="shared" si="89"/>
        <v>0.73237762579441223</v>
      </c>
      <c r="F83" s="20">
        <f t="shared" si="89"/>
        <v>0.83941628972123383</v>
      </c>
      <c r="G83" s="20">
        <f t="shared" si="89"/>
        <v>0.78956119115276324</v>
      </c>
    </row>
    <row r="84" spans="1:7" ht="16.5" x14ac:dyDescent="0.25">
      <c r="A84" s="3" t="s">
        <v>87</v>
      </c>
      <c r="B84" s="19">
        <f>+B71/B18</f>
        <v>2.5808906539481003E-3</v>
      </c>
      <c r="C84" s="18">
        <f t="shared" ref="C84:G84" si="90">+C71/C18</f>
        <v>4.6290061540230402E-4</v>
      </c>
      <c r="D84" s="20">
        <f t="shared" si="90"/>
        <v>0.45335467159550336</v>
      </c>
      <c r="E84" s="20">
        <f t="shared" si="90"/>
        <v>0.37107125897338983</v>
      </c>
      <c r="F84" s="20">
        <f t="shared" si="90"/>
        <v>0.30391332606235927</v>
      </c>
      <c r="G84" s="20">
        <f t="shared" si="90"/>
        <v>0.28147681316445261</v>
      </c>
    </row>
    <row r="85" spans="1:7" ht="16.5" x14ac:dyDescent="0.25">
      <c r="A85" s="10" t="s">
        <v>88</v>
      </c>
      <c r="C85" s="20">
        <f>+AVERAGE(B30:C30)/AVERAGE(B35:C35)</f>
        <v>3.2433758178341239</v>
      </c>
      <c r="D85" s="20">
        <f t="shared" ref="D85:F85" si="91">+AVERAGE(C30:D30)/AVERAGE(C35:D35)</f>
        <v>4.1241224724151806</v>
      </c>
      <c r="E85" s="20">
        <f t="shared" si="91"/>
        <v>3.1212667240573611</v>
      </c>
      <c r="F85" s="20">
        <f t="shared" si="91"/>
        <v>3.7385761687814045</v>
      </c>
      <c r="G85" s="20">
        <f>+AVERAGE(F30:G30)/AVERAGE(F35:G35)</f>
        <v>4.3098024925876306</v>
      </c>
    </row>
    <row r="86" spans="1:7" ht="16.5" x14ac:dyDescent="0.25">
      <c r="A86" s="10" t="s">
        <v>89</v>
      </c>
      <c r="B86" s="16">
        <f>+B47/B49</f>
        <v>11.243975459535271</v>
      </c>
      <c r="C86" s="16">
        <f t="shared" ref="C86:G86" si="92">+C47/C49</f>
        <v>5.7873965206778015</v>
      </c>
      <c r="D86" s="16">
        <f t="shared" si="92"/>
        <v>6.9674665950841677</v>
      </c>
      <c r="E86" s="16">
        <f t="shared" si="92"/>
        <v>13.712504966431668</v>
      </c>
      <c r="F86" s="16">
        <f t="shared" si="92"/>
        <v>8.6923170628642534</v>
      </c>
      <c r="G86" s="16">
        <f t="shared" si="92"/>
        <v>2.5988640303563004</v>
      </c>
    </row>
    <row r="87" spans="1:7" ht="16.5" x14ac:dyDescent="0.25">
      <c r="A87" s="10" t="s">
        <v>90</v>
      </c>
      <c r="B87" s="16">
        <f>+B56/B49</f>
        <v>16.32185939121063</v>
      </c>
      <c r="C87" s="16">
        <f t="shared" ref="C87:G87" si="93">+C56/C49</f>
        <v>15.115915763778355</v>
      </c>
      <c r="D87" s="16">
        <f t="shared" si="93"/>
        <v>19.085584023410838</v>
      </c>
      <c r="E87" s="16">
        <f t="shared" si="93"/>
        <v>26.777385435326099</v>
      </c>
      <c r="F87" s="16">
        <f t="shared" si="93"/>
        <v>14.100875733427872</v>
      </c>
      <c r="G87" s="16">
        <f t="shared" si="93"/>
        <v>4.4133223099867527</v>
      </c>
    </row>
    <row r="88" spans="1:7" ht="16.5" x14ac:dyDescent="0.25">
      <c r="A88" s="10" t="s">
        <v>91</v>
      </c>
      <c r="B88" s="21">
        <f>+B49/B40</f>
        <v>5.2083096173764099E-3</v>
      </c>
      <c r="C88" s="21">
        <f t="shared" ref="C88:G88" si="94">+C49/C40</f>
        <v>1.132740087609603E-2</v>
      </c>
      <c r="D88" s="21">
        <f t="shared" si="94"/>
        <v>9.3779389452071007E-3</v>
      </c>
      <c r="E88" s="21">
        <f t="shared" si="94"/>
        <v>8.3952292735675286E-3</v>
      </c>
      <c r="F88" s="21">
        <f t="shared" si="94"/>
        <v>1.0978774464366469E-2</v>
      </c>
      <c r="G88" s="21">
        <f t="shared" si="94"/>
        <v>3.3140363177057104E-2</v>
      </c>
    </row>
    <row r="89" spans="1:7" ht="16.5" x14ac:dyDescent="0.25">
      <c r="B89" s="4">
        <v>2018</v>
      </c>
      <c r="C89" s="4">
        <v>2019</v>
      </c>
      <c r="D89" s="4">
        <v>2020</v>
      </c>
      <c r="E89" s="4">
        <v>2021</v>
      </c>
      <c r="F89" s="4">
        <v>2022</v>
      </c>
      <c r="G89" s="4">
        <v>2023</v>
      </c>
    </row>
    <row r="90" spans="1:7" ht="16.5" x14ac:dyDescent="0.25">
      <c r="A90" s="10" t="s">
        <v>92</v>
      </c>
      <c r="C90" s="21">
        <f>+C47/AVERAGE(B18:C18)</f>
        <v>0.14419606469747079</v>
      </c>
      <c r="D90" s="21">
        <f t="shared" ref="D90:G90" si="95">+D47/AVERAGE(C18:D18)</f>
        <v>8.423279668700849E-2</v>
      </c>
      <c r="E90" s="21">
        <f t="shared" si="95"/>
        <v>0.18606729125472718</v>
      </c>
      <c r="F90" s="21">
        <f t="shared" si="95"/>
        <v>0.17130724148747178</v>
      </c>
      <c r="G90" s="21">
        <f t="shared" si="95"/>
        <v>0.15481572405758054</v>
      </c>
    </row>
    <row r="91" spans="1:7" ht="16.5" x14ac:dyDescent="0.25">
      <c r="A91" s="10" t="s">
        <v>93</v>
      </c>
      <c r="C91" s="21">
        <f>+C52/AVERAGE(B18:C18)</f>
        <v>7.3460966095993355E-2</v>
      </c>
      <c r="D91" s="21">
        <f t="shared" ref="D91:G91" si="96">+D52/AVERAGE(C18:D18)</f>
        <v>4.9147823963310341E-2</v>
      </c>
      <c r="E91" s="21">
        <f t="shared" si="96"/>
        <v>0.12272073785681772</v>
      </c>
      <c r="F91" s="21">
        <f t="shared" si="96"/>
        <v>0.10511683236788227</v>
      </c>
      <c r="G91" s="21">
        <f t="shared" si="96"/>
        <v>8.9883780568137631E-2</v>
      </c>
    </row>
    <row r="92" spans="1:7" ht="16.5" x14ac:dyDescent="0.25">
      <c r="A92" s="10" t="s">
        <v>94</v>
      </c>
      <c r="C92" s="21">
        <f>+C52/AVERAGE(B35:C35)</f>
        <v>0.31172248708647066</v>
      </c>
      <c r="D92" s="21">
        <f t="shared" ref="D92:G92" si="97">+D52/AVERAGE(C35:D35)</f>
        <v>0.25183946924070388</v>
      </c>
      <c r="E92" s="21">
        <f t="shared" si="97"/>
        <v>0.50576489328106933</v>
      </c>
      <c r="F92" s="21">
        <f t="shared" si="97"/>
        <v>0.49810411679623667</v>
      </c>
      <c r="G92" s="21">
        <f t="shared" si="97"/>
        <v>0.47726512210389682</v>
      </c>
    </row>
    <row r="94" spans="1:7" ht="16.5" x14ac:dyDescent="0.25">
      <c r="A94" s="33" t="s">
        <v>95</v>
      </c>
      <c r="B94" s="33"/>
      <c r="C94" s="33"/>
      <c r="D94" s="33"/>
      <c r="E94" s="33"/>
    </row>
    <row r="95" spans="1:7" ht="16.5" x14ac:dyDescent="0.25">
      <c r="C95" s="4">
        <v>2019</v>
      </c>
      <c r="D95" s="4">
        <v>2020</v>
      </c>
      <c r="E95" s="4">
        <v>2021</v>
      </c>
      <c r="F95" s="4">
        <v>2022</v>
      </c>
      <c r="G95" s="4">
        <v>2023</v>
      </c>
    </row>
    <row r="96" spans="1:7" ht="16.5" x14ac:dyDescent="0.25">
      <c r="A96" s="29" t="s">
        <v>54</v>
      </c>
      <c r="B96" s="30"/>
      <c r="C96" s="15">
        <f>+C62</f>
        <v>3.3397713647741092E-2</v>
      </c>
      <c r="D96" s="15">
        <f t="shared" ref="D96:E96" si="98">+D62</f>
        <v>3.8124606503931943E-2</v>
      </c>
      <c r="E96" s="15">
        <f t="shared" si="98"/>
        <v>7.5927182012272235E-2</v>
      </c>
      <c r="F96" s="28">
        <f t="shared" ref="F96:G96" si="99">+F62</f>
        <v>5.8557963719978894E-2</v>
      </c>
      <c r="G96" s="28">
        <f t="shared" si="99"/>
        <v>5.0004269170635413E-2</v>
      </c>
    </row>
    <row r="97" spans="1:7" ht="16.5" x14ac:dyDescent="0.25">
      <c r="A97" s="29" t="s">
        <v>96</v>
      </c>
      <c r="B97" s="30"/>
      <c r="C97" s="16">
        <f>+C40/AVERAGE(B18:C18)</f>
        <v>2.1995806919843455</v>
      </c>
      <c r="D97" s="16">
        <f t="shared" ref="D97:E97" si="100">+D40/AVERAGE(C18:D18)</f>
        <v>1.289136556943651</v>
      </c>
      <c r="E97" s="16">
        <f t="shared" si="100"/>
        <v>1.6162951739336537</v>
      </c>
      <c r="F97" s="20">
        <f t="shared" ref="F97:G97" si="101">+F40/AVERAGE(E18:F18)</f>
        <v>1.7950902949861003</v>
      </c>
      <c r="G97" s="20">
        <f t="shared" si="101"/>
        <v>1.7975221327886366</v>
      </c>
    </row>
    <row r="98" spans="1:7" ht="16.5" x14ac:dyDescent="0.25">
      <c r="A98" s="29" t="s">
        <v>97</v>
      </c>
      <c r="B98" s="30"/>
      <c r="C98" s="16">
        <f>1+C85</f>
        <v>4.2433758178341243</v>
      </c>
      <c r="D98" s="16">
        <f t="shared" ref="D98:E98" si="102">1+D85</f>
        <v>5.1241224724151806</v>
      </c>
      <c r="E98" s="16">
        <f t="shared" si="102"/>
        <v>4.1212667240573611</v>
      </c>
      <c r="F98" s="20">
        <f t="shared" ref="F98:G98" si="103">1+F85</f>
        <v>4.738576168781405</v>
      </c>
      <c r="G98" s="20">
        <f t="shared" si="103"/>
        <v>5.3098024925876306</v>
      </c>
    </row>
    <row r="99" spans="1:7" ht="16.5" x14ac:dyDescent="0.25">
      <c r="A99" s="29" t="s">
        <v>94</v>
      </c>
      <c r="B99" s="30"/>
      <c r="C99" s="8">
        <f>+C96*C97*C98</f>
        <v>0.31172248708647071</v>
      </c>
      <c r="D99" s="8">
        <f t="shared" ref="D99" si="104">+D96*D97*D98</f>
        <v>0.25183946924070388</v>
      </c>
      <c r="E99" s="8">
        <f>+E96*E97*E98</f>
        <v>0.50576489328106944</v>
      </c>
      <c r="F99" s="8">
        <f t="shared" ref="F99:G99" si="105">+F96*F97*F98</f>
        <v>0.49810411679623678</v>
      </c>
      <c r="G99" s="8">
        <f t="shared" si="105"/>
        <v>0.47726512210389682</v>
      </c>
    </row>
    <row r="100" spans="1:7" x14ac:dyDescent="0.25">
      <c r="B100" s="17"/>
      <c r="C100" s="17" t="b">
        <f>+C99=C92</f>
        <v>1</v>
      </c>
      <c r="D100" s="17" t="b">
        <f t="shared" ref="D100" si="106">+D99=D92</f>
        <v>1</v>
      </c>
      <c r="E100" s="17" t="b">
        <f>+E99=E92</f>
        <v>1</v>
      </c>
      <c r="F100" s="17" t="b">
        <f t="shared" ref="F100:G100" si="107">+F99=F92</f>
        <v>1</v>
      </c>
      <c r="G100" s="17" t="b">
        <f t="shared" si="107"/>
        <v>1</v>
      </c>
    </row>
  </sheetData>
  <mergeCells count="8">
    <mergeCell ref="A97:B97"/>
    <mergeCell ref="A98:B98"/>
    <mergeCell ref="A99:B99"/>
    <mergeCell ref="I5:M5"/>
    <mergeCell ref="I38:M38"/>
    <mergeCell ref="I64:M64"/>
    <mergeCell ref="A94:E94"/>
    <mergeCell ref="A96:B96"/>
  </mergeCells>
  <pageMargins left="0.7" right="0.7" top="0.75" bottom="0.75" header="0.3" footer="0.3"/>
  <ignoredErrors>
    <ignoredError sqref="G12 B12:F12 R13:V13 R17:V17 R24:V24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JIMÉNEZ</dc:creator>
  <cp:lastModifiedBy>MIGUEL JIMÉNEZ</cp:lastModifiedBy>
  <dcterms:created xsi:type="dcterms:W3CDTF">2025-06-17T02:39:14Z</dcterms:created>
  <dcterms:modified xsi:type="dcterms:W3CDTF">2025-07-09T03:56:55Z</dcterms:modified>
</cp:coreProperties>
</file>