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\Dropbox\UNAL\ADMINISTRACIÓN FINANCIERA\Excel\"/>
    </mc:Choice>
  </mc:AlternateContent>
  <xr:revisionPtr revIDLastSave="0" documentId="13_ncr:1_{25D86EA9-3651-417C-80E3-137026A03CFE}" xr6:coauthVersionLast="47" xr6:coauthVersionMax="47" xr10:uidLastSave="{00000000-0000-0000-0000-000000000000}"/>
  <bookViews>
    <workbookView xWindow="-110" yWindow="-110" windowWidth="19420" windowHeight="10300" activeTab="1" xr2:uid="{EC1E1EC8-3764-4F67-A5B5-8BAAD9E7224C}"/>
  </bookViews>
  <sheets>
    <sheet name="Indicadores" sheetId="1" r:id="rId1"/>
    <sheet name="Flujo de Efectiv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2" l="1"/>
  <c r="C75" i="2"/>
  <c r="D84" i="2"/>
  <c r="D83" i="2"/>
  <c r="E83" i="2"/>
  <c r="F83" i="2"/>
  <c r="G83" i="2"/>
  <c r="C91" i="2"/>
  <c r="D91" i="2"/>
  <c r="E91" i="2"/>
  <c r="F91" i="2"/>
  <c r="G91" i="2"/>
  <c r="D86" i="2"/>
  <c r="E86" i="2"/>
  <c r="F86" i="2"/>
  <c r="G86" i="2"/>
  <c r="D87" i="2"/>
  <c r="E87" i="2"/>
  <c r="F87" i="2"/>
  <c r="G87" i="2"/>
  <c r="C87" i="2"/>
  <c r="C86" i="2"/>
  <c r="E84" i="2"/>
  <c r="F84" i="2"/>
  <c r="G84" i="2"/>
  <c r="C83" i="2"/>
  <c r="D81" i="2"/>
  <c r="E81" i="2"/>
  <c r="F81" i="2"/>
  <c r="G81" i="2"/>
  <c r="D82" i="2"/>
  <c r="E82" i="2"/>
  <c r="F82" i="2"/>
  <c r="G82" i="2"/>
  <c r="C82" i="2"/>
  <c r="C81" i="2"/>
  <c r="D76" i="2"/>
  <c r="E76" i="2"/>
  <c r="F76" i="2"/>
  <c r="G76" i="2"/>
  <c r="D77" i="2"/>
  <c r="E77" i="2"/>
  <c r="F77" i="2"/>
  <c r="G77" i="2"/>
  <c r="D78" i="2"/>
  <c r="E78" i="2"/>
  <c r="F78" i="2"/>
  <c r="G78" i="2"/>
  <c r="D79" i="2"/>
  <c r="E79" i="2"/>
  <c r="F79" i="2"/>
  <c r="G79" i="2"/>
  <c r="C79" i="2"/>
  <c r="C78" i="2"/>
  <c r="C77" i="2"/>
  <c r="C76" i="2"/>
  <c r="D75" i="2"/>
  <c r="E75" i="2"/>
  <c r="F75" i="2"/>
  <c r="G75" i="2"/>
  <c r="D73" i="2"/>
  <c r="E73" i="2"/>
  <c r="F73" i="2"/>
  <c r="G73" i="2"/>
  <c r="C73" i="2"/>
  <c r="D72" i="2"/>
  <c r="E72" i="2"/>
  <c r="F72" i="2"/>
  <c r="G72" i="2"/>
  <c r="C72" i="2"/>
  <c r="D69" i="2"/>
  <c r="E69" i="2"/>
  <c r="F69" i="2"/>
  <c r="G69" i="2"/>
  <c r="D70" i="2"/>
  <c r="E70" i="2"/>
  <c r="F70" i="2"/>
  <c r="G70" i="2"/>
  <c r="D71" i="2"/>
  <c r="E71" i="2"/>
  <c r="F71" i="2"/>
  <c r="G71" i="2"/>
  <c r="C71" i="2"/>
  <c r="C70" i="2"/>
  <c r="C69" i="2"/>
  <c r="D66" i="2"/>
  <c r="E66" i="2"/>
  <c r="F66" i="2"/>
  <c r="G66" i="2"/>
  <c r="D67" i="2"/>
  <c r="E67" i="2"/>
  <c r="F67" i="2"/>
  <c r="G67" i="2"/>
  <c r="D68" i="2"/>
  <c r="E68" i="2"/>
  <c r="F68" i="2"/>
  <c r="G68" i="2"/>
  <c r="C67" i="2"/>
  <c r="C68" i="2"/>
  <c r="C66" i="2"/>
  <c r="D63" i="2"/>
  <c r="E63" i="2"/>
  <c r="F63" i="2"/>
  <c r="G63" i="2"/>
  <c r="D64" i="2"/>
  <c r="E64" i="2"/>
  <c r="F64" i="2"/>
  <c r="G64" i="2"/>
  <c r="D65" i="2"/>
  <c r="E65" i="2"/>
  <c r="F65" i="2"/>
  <c r="G65" i="2"/>
  <c r="C65" i="2"/>
  <c r="C64" i="2"/>
  <c r="C63" i="2"/>
  <c r="D59" i="2"/>
  <c r="E59" i="2"/>
  <c r="F59" i="2"/>
  <c r="G59" i="2"/>
  <c r="D60" i="2"/>
  <c r="E60" i="2"/>
  <c r="F60" i="2"/>
  <c r="G60" i="2"/>
  <c r="D61" i="2"/>
  <c r="E61" i="2"/>
  <c r="F61" i="2"/>
  <c r="G61" i="2"/>
  <c r="C61" i="2"/>
  <c r="C60" i="2"/>
  <c r="C59" i="2"/>
  <c r="C80" i="2" l="1"/>
  <c r="G80" i="2"/>
  <c r="F80" i="2"/>
  <c r="E80" i="2"/>
  <c r="D80" i="2"/>
  <c r="D97" i="1" l="1"/>
  <c r="D100" i="1" s="1"/>
  <c r="D101" i="1" s="1"/>
  <c r="E97" i="1"/>
  <c r="E100" i="1" s="1"/>
  <c r="E101" i="1" s="1"/>
  <c r="F97" i="1"/>
  <c r="G97" i="1"/>
  <c r="D98" i="1"/>
  <c r="E98" i="1"/>
  <c r="F98" i="1"/>
  <c r="G98" i="1"/>
  <c r="D99" i="1"/>
  <c r="E99" i="1"/>
  <c r="F99" i="1"/>
  <c r="G99" i="1"/>
  <c r="C99" i="1"/>
  <c r="C100" i="1" s="1"/>
  <c r="C101" i="1" s="1"/>
  <c r="C98" i="1"/>
  <c r="C97" i="1"/>
  <c r="F100" i="1"/>
  <c r="F101" i="1" s="1"/>
  <c r="G100" i="1"/>
  <c r="G101" i="1" s="1"/>
  <c r="D93" i="1"/>
  <c r="E93" i="1"/>
  <c r="F93" i="1"/>
  <c r="G93" i="1"/>
  <c r="C93" i="1"/>
  <c r="D92" i="1"/>
  <c r="E92" i="1"/>
  <c r="F92" i="1"/>
  <c r="G92" i="1"/>
  <c r="C92" i="1"/>
  <c r="D91" i="1"/>
  <c r="E91" i="1"/>
  <c r="F91" i="1"/>
  <c r="G91" i="1"/>
  <c r="C91" i="1"/>
  <c r="C90" i="1"/>
  <c r="D90" i="1"/>
  <c r="E90" i="1"/>
  <c r="F90" i="1"/>
  <c r="G90" i="1"/>
  <c r="C88" i="1"/>
  <c r="D88" i="1"/>
  <c r="E88" i="1"/>
  <c r="F88" i="1"/>
  <c r="G88" i="1"/>
  <c r="B88" i="1"/>
  <c r="C87" i="1"/>
  <c r="D87" i="1"/>
  <c r="E87" i="1"/>
  <c r="F87" i="1"/>
  <c r="G87" i="1"/>
  <c r="B87" i="1"/>
  <c r="C86" i="1"/>
  <c r="D86" i="1"/>
  <c r="E86" i="1"/>
  <c r="F86" i="1"/>
  <c r="G86" i="1"/>
  <c r="B86" i="1"/>
  <c r="D85" i="1"/>
  <c r="E85" i="1"/>
  <c r="F85" i="1"/>
  <c r="G85" i="1"/>
  <c r="C85" i="1"/>
  <c r="C84" i="1"/>
  <c r="D84" i="1"/>
  <c r="E84" i="1"/>
  <c r="F84" i="1"/>
  <c r="G84" i="1"/>
  <c r="B84" i="1"/>
  <c r="C83" i="1"/>
  <c r="D83" i="1"/>
  <c r="E83" i="1"/>
  <c r="F83" i="1"/>
  <c r="G83" i="1"/>
  <c r="B83" i="1"/>
  <c r="D80" i="1"/>
  <c r="E80" i="1"/>
  <c r="F80" i="1"/>
  <c r="G80" i="1"/>
  <c r="C80" i="1"/>
  <c r="H43" i="1" l="1"/>
  <c r="H42" i="1"/>
  <c r="N57" i="1"/>
  <c r="J52" i="1"/>
  <c r="I52" i="1"/>
  <c r="J54" i="1"/>
  <c r="I54" i="1"/>
  <c r="N52" i="1"/>
  <c r="N54" i="1"/>
  <c r="N49" i="1"/>
  <c r="M57" i="1"/>
  <c r="L57" i="1"/>
  <c r="K57" i="1"/>
  <c r="J57" i="1"/>
  <c r="I57" i="1"/>
  <c r="M56" i="1"/>
  <c r="N56" i="1" s="1"/>
  <c r="L56" i="1"/>
  <c r="K56" i="1"/>
  <c r="J56" i="1"/>
  <c r="I56" i="1"/>
  <c r="K54" i="1"/>
  <c r="L54" i="1"/>
  <c r="M54" i="1"/>
  <c r="I42" i="1"/>
  <c r="J42" i="1"/>
  <c r="K42" i="1"/>
  <c r="L42" i="1"/>
  <c r="M42" i="1"/>
  <c r="N42" i="1"/>
  <c r="I43" i="1"/>
  <c r="N43" i="1" s="1"/>
  <c r="J43" i="1"/>
  <c r="K43" i="1"/>
  <c r="L43" i="1"/>
  <c r="M43" i="1"/>
  <c r="I44" i="1"/>
  <c r="N44" i="1" s="1"/>
  <c r="J44" i="1"/>
  <c r="K44" i="1"/>
  <c r="L44" i="1"/>
  <c r="M44" i="1"/>
  <c r="I45" i="1"/>
  <c r="J45" i="1"/>
  <c r="K45" i="1"/>
  <c r="L45" i="1"/>
  <c r="M45" i="1"/>
  <c r="N45" i="1"/>
  <c r="I46" i="1"/>
  <c r="J46" i="1"/>
  <c r="K46" i="1"/>
  <c r="L46" i="1"/>
  <c r="M46" i="1"/>
  <c r="N46" i="1"/>
  <c r="I47" i="1"/>
  <c r="N47" i="1" s="1"/>
  <c r="J47" i="1"/>
  <c r="K47" i="1"/>
  <c r="L47" i="1"/>
  <c r="M47" i="1"/>
  <c r="I49" i="1"/>
  <c r="J49" i="1"/>
  <c r="K49" i="1"/>
  <c r="L49" i="1"/>
  <c r="M49" i="1"/>
  <c r="I51" i="1"/>
  <c r="N51" i="1" s="1"/>
  <c r="J51" i="1"/>
  <c r="K51" i="1"/>
  <c r="L51" i="1"/>
  <c r="M51" i="1"/>
  <c r="K52" i="1"/>
  <c r="L52" i="1"/>
  <c r="M52" i="1"/>
  <c r="I53" i="1"/>
  <c r="J53" i="1"/>
  <c r="K53" i="1"/>
  <c r="L53" i="1"/>
  <c r="M53" i="1"/>
  <c r="N53" i="1"/>
  <c r="N41" i="1"/>
  <c r="M41" i="1"/>
  <c r="L41" i="1"/>
  <c r="K41" i="1"/>
  <c r="J41" i="1"/>
  <c r="I41" i="1"/>
  <c r="H56" i="1"/>
  <c r="H44" i="1"/>
  <c r="H45" i="1"/>
  <c r="H46" i="1"/>
  <c r="H47" i="1"/>
  <c r="H48" i="1"/>
  <c r="H50" i="1"/>
  <c r="H51" i="1"/>
  <c r="H53" i="1"/>
  <c r="H41" i="1"/>
  <c r="I8" i="1"/>
  <c r="J8" i="1"/>
  <c r="K8" i="1"/>
  <c r="L8" i="1"/>
  <c r="M8" i="1"/>
  <c r="I9" i="1"/>
  <c r="N9" i="1" s="1"/>
  <c r="J9" i="1"/>
  <c r="K9" i="1"/>
  <c r="L9" i="1"/>
  <c r="M9" i="1"/>
  <c r="I14" i="1"/>
  <c r="J14" i="1"/>
  <c r="K14" i="1"/>
  <c r="L14" i="1"/>
  <c r="M14" i="1"/>
  <c r="I15" i="1"/>
  <c r="J15" i="1"/>
  <c r="K15" i="1"/>
  <c r="L15" i="1"/>
  <c r="M15" i="1"/>
  <c r="I17" i="1"/>
  <c r="J17" i="1"/>
  <c r="K17" i="1"/>
  <c r="L17" i="1"/>
  <c r="M17" i="1"/>
  <c r="I19" i="1"/>
  <c r="J19" i="1"/>
  <c r="K19" i="1"/>
  <c r="L19" i="1"/>
  <c r="M19" i="1"/>
  <c r="I22" i="1"/>
  <c r="J22" i="1"/>
  <c r="K22" i="1"/>
  <c r="L22" i="1"/>
  <c r="M22" i="1"/>
  <c r="I23" i="1"/>
  <c r="J23" i="1"/>
  <c r="K23" i="1"/>
  <c r="L23" i="1"/>
  <c r="M23" i="1"/>
  <c r="I24" i="1"/>
  <c r="J24" i="1"/>
  <c r="K24" i="1"/>
  <c r="L24" i="1"/>
  <c r="M24" i="1"/>
  <c r="I26" i="1"/>
  <c r="J26" i="1"/>
  <c r="K26" i="1"/>
  <c r="L26" i="1"/>
  <c r="M26" i="1"/>
  <c r="M28" i="1"/>
  <c r="N28" i="1" s="1"/>
  <c r="I30" i="1"/>
  <c r="J30" i="1"/>
  <c r="K30" i="1"/>
  <c r="L30" i="1"/>
  <c r="M30" i="1"/>
  <c r="I35" i="1"/>
  <c r="J35" i="1"/>
  <c r="K35" i="1"/>
  <c r="L35" i="1"/>
  <c r="M35" i="1"/>
  <c r="J7" i="1"/>
  <c r="K7" i="1"/>
  <c r="L7" i="1"/>
  <c r="M7" i="1"/>
  <c r="I7" i="1"/>
  <c r="T31" i="1"/>
  <c r="U31" i="1"/>
  <c r="V31" i="1"/>
  <c r="W31" i="1"/>
  <c r="X31" i="1"/>
  <c r="S31" i="1"/>
  <c r="U25" i="1"/>
  <c r="V25" i="1"/>
  <c r="W25" i="1"/>
  <c r="X25" i="1"/>
  <c r="T25" i="1"/>
  <c r="X24" i="1"/>
  <c r="U24" i="1"/>
  <c r="V24" i="1"/>
  <c r="W24" i="1"/>
  <c r="T24" i="1"/>
  <c r="U22" i="1"/>
  <c r="V22" i="1"/>
  <c r="W22" i="1"/>
  <c r="X22" i="1"/>
  <c r="U23" i="1"/>
  <c r="V23" i="1"/>
  <c r="W23" i="1"/>
  <c r="X23" i="1"/>
  <c r="T23" i="1"/>
  <c r="T22" i="1"/>
  <c r="U18" i="1"/>
  <c r="V18" i="1"/>
  <c r="V19" i="1" s="1"/>
  <c r="V20" i="1" s="1"/>
  <c r="W18" i="1"/>
  <c r="W19" i="1" s="1"/>
  <c r="W20" i="1" s="1"/>
  <c r="X18" i="1"/>
  <c r="X19" i="1" s="1"/>
  <c r="X20" i="1" s="1"/>
  <c r="T18" i="1"/>
  <c r="T19" i="1" s="1"/>
  <c r="U14" i="1"/>
  <c r="U15" i="1" s="1"/>
  <c r="U16" i="1" s="1"/>
  <c r="V14" i="1"/>
  <c r="V15" i="1" s="1"/>
  <c r="V16" i="1" s="1"/>
  <c r="W14" i="1"/>
  <c r="W15" i="1" s="1"/>
  <c r="W16" i="1" s="1"/>
  <c r="X14" i="1"/>
  <c r="X15" i="1" s="1"/>
  <c r="X16" i="1" s="1"/>
  <c r="T14" i="1"/>
  <c r="T15" i="1" s="1"/>
  <c r="T10" i="1"/>
  <c r="U10" i="1"/>
  <c r="V10" i="1"/>
  <c r="W10" i="1"/>
  <c r="W11" i="1" s="1"/>
  <c r="W12" i="1" s="1"/>
  <c r="X10" i="1"/>
  <c r="S10" i="1"/>
  <c r="C77" i="1"/>
  <c r="D77" i="1"/>
  <c r="E77" i="1"/>
  <c r="F77" i="1"/>
  <c r="G77" i="1"/>
  <c r="C78" i="1"/>
  <c r="D78" i="1"/>
  <c r="E78" i="1"/>
  <c r="F78" i="1"/>
  <c r="G78" i="1"/>
  <c r="C79" i="1"/>
  <c r="D79" i="1"/>
  <c r="E79" i="1"/>
  <c r="F79" i="1"/>
  <c r="G79" i="1"/>
  <c r="B79" i="1"/>
  <c r="B78" i="1"/>
  <c r="B77" i="1"/>
  <c r="N19" i="1" l="1"/>
  <c r="N17" i="1"/>
  <c r="N30" i="1"/>
  <c r="N15" i="1"/>
  <c r="N14" i="1"/>
  <c r="T26" i="1"/>
  <c r="T27" i="1" s="1"/>
  <c r="N7" i="1"/>
  <c r="N35" i="1"/>
  <c r="N26" i="1"/>
  <c r="N24" i="1"/>
  <c r="N8" i="1"/>
  <c r="N23" i="1"/>
  <c r="N22" i="1"/>
  <c r="X11" i="1"/>
  <c r="X12" i="1" s="1"/>
  <c r="U32" i="1"/>
  <c r="U33" i="1" s="1"/>
  <c r="W26" i="1"/>
  <c r="W27" i="1" s="1"/>
  <c r="W29" i="1" s="1"/>
  <c r="T11" i="1"/>
  <c r="T12" i="1" s="1"/>
  <c r="X32" i="1"/>
  <c r="X33" i="1" s="1"/>
  <c r="W32" i="1"/>
  <c r="W33" i="1" s="1"/>
  <c r="X26" i="1"/>
  <c r="X27" i="1" s="1"/>
  <c r="X29" i="1" s="1"/>
  <c r="V32" i="1"/>
  <c r="V33" i="1" s="1"/>
  <c r="T32" i="1"/>
  <c r="T33" i="1" s="1"/>
  <c r="T20" i="1"/>
  <c r="U19" i="1"/>
  <c r="U20" i="1" s="1"/>
  <c r="U11" i="1"/>
  <c r="U12" i="1" s="1"/>
  <c r="V11" i="1"/>
  <c r="V12" i="1" s="1"/>
  <c r="U26" i="1"/>
  <c r="U27" i="1" s="1"/>
  <c r="V26" i="1"/>
  <c r="V27" i="1" s="1"/>
  <c r="V29" i="1" s="1"/>
  <c r="T16" i="1"/>
  <c r="C74" i="1"/>
  <c r="D74" i="1"/>
  <c r="E74" i="1"/>
  <c r="F74" i="1"/>
  <c r="G74" i="1"/>
  <c r="B74" i="1"/>
  <c r="C71" i="1"/>
  <c r="D71" i="1"/>
  <c r="E71" i="1"/>
  <c r="F71" i="1"/>
  <c r="G71" i="1"/>
  <c r="B71" i="1"/>
  <c r="C68" i="1"/>
  <c r="D68" i="1"/>
  <c r="E68" i="1"/>
  <c r="F68" i="1"/>
  <c r="G68" i="1"/>
  <c r="C69" i="1"/>
  <c r="D69" i="1"/>
  <c r="E69" i="1"/>
  <c r="F69" i="1"/>
  <c r="G69" i="1"/>
  <c r="B69" i="1"/>
  <c r="B68" i="1"/>
  <c r="G70" i="1" l="1"/>
  <c r="G72" i="1" s="1"/>
  <c r="B70" i="1"/>
  <c r="B72" i="1" s="1"/>
  <c r="U29" i="1"/>
  <c r="T29" i="1"/>
  <c r="F70" i="1"/>
  <c r="F72" i="1" s="1"/>
  <c r="C70" i="1"/>
  <c r="C72" i="1" s="1"/>
  <c r="E70" i="1"/>
  <c r="E72" i="1" s="1"/>
  <c r="D70" i="1"/>
  <c r="D72" i="1" s="1"/>
  <c r="G42" i="2" l="1"/>
  <c r="G48" i="2" s="1"/>
  <c r="G51" i="2" s="1"/>
  <c r="G53" i="2" s="1"/>
  <c r="F42" i="2"/>
  <c r="F48" i="2" s="1"/>
  <c r="F51" i="2" s="1"/>
  <c r="F53" i="2" s="1"/>
  <c r="E42" i="2"/>
  <c r="E48" i="2" s="1"/>
  <c r="E51" i="2" s="1"/>
  <c r="E53" i="2" s="1"/>
  <c r="D42" i="2"/>
  <c r="D48" i="2" s="1"/>
  <c r="D51" i="2" s="1"/>
  <c r="D53" i="2" s="1"/>
  <c r="C42" i="2"/>
  <c r="C48" i="2" s="1"/>
  <c r="C51" i="2" s="1"/>
  <c r="C53" i="2" s="1"/>
  <c r="C85" i="2" s="1"/>
  <c r="B42" i="2"/>
  <c r="B48" i="2" s="1"/>
  <c r="B51" i="2" s="1"/>
  <c r="B53" i="2" s="1"/>
  <c r="G36" i="2"/>
  <c r="F36" i="2"/>
  <c r="E36" i="2"/>
  <c r="D36" i="2"/>
  <c r="C36" i="2"/>
  <c r="B36" i="2"/>
  <c r="G31" i="2"/>
  <c r="F31" i="2"/>
  <c r="E31" i="2"/>
  <c r="D31" i="2"/>
  <c r="C31" i="2"/>
  <c r="B31" i="2"/>
  <c r="G27" i="2"/>
  <c r="F27" i="2"/>
  <c r="E27" i="2"/>
  <c r="D27" i="2"/>
  <c r="C27" i="2"/>
  <c r="B27" i="2"/>
  <c r="G20" i="2"/>
  <c r="F20" i="2"/>
  <c r="E20" i="2"/>
  <c r="D20" i="2"/>
  <c r="C20" i="2"/>
  <c r="B20" i="2"/>
  <c r="G13" i="2"/>
  <c r="F13" i="2"/>
  <c r="E13" i="2"/>
  <c r="D13" i="2"/>
  <c r="C13" i="2"/>
  <c r="B13" i="2"/>
  <c r="C43" i="1"/>
  <c r="C62" i="1" s="1"/>
  <c r="D43" i="1"/>
  <c r="D62" i="1" s="1"/>
  <c r="E43" i="1"/>
  <c r="E62" i="1" s="1"/>
  <c r="F43" i="1"/>
  <c r="F62" i="1" s="1"/>
  <c r="G43" i="1"/>
  <c r="B43" i="1"/>
  <c r="C36" i="1"/>
  <c r="I36" i="1" s="1"/>
  <c r="D36" i="1"/>
  <c r="E36" i="1"/>
  <c r="K36" i="1" s="1"/>
  <c r="F36" i="1"/>
  <c r="L36" i="1" s="1"/>
  <c r="G36" i="1"/>
  <c r="M36" i="1" s="1"/>
  <c r="B36" i="1"/>
  <c r="C31" i="1"/>
  <c r="I31" i="1" s="1"/>
  <c r="D31" i="1"/>
  <c r="J31" i="1" s="1"/>
  <c r="E31" i="1"/>
  <c r="F31" i="1"/>
  <c r="G31" i="1"/>
  <c r="M31" i="1" s="1"/>
  <c r="B31" i="1"/>
  <c r="C27" i="1"/>
  <c r="I27" i="1" s="1"/>
  <c r="D27" i="1"/>
  <c r="J27" i="1" s="1"/>
  <c r="E27" i="1"/>
  <c r="K27" i="1" s="1"/>
  <c r="F27" i="1"/>
  <c r="L27" i="1" s="1"/>
  <c r="G27" i="1"/>
  <c r="M27" i="1" s="1"/>
  <c r="B27" i="1"/>
  <c r="C20" i="1"/>
  <c r="D20" i="1"/>
  <c r="J20" i="1" s="1"/>
  <c r="E20" i="1"/>
  <c r="K20" i="1" s="1"/>
  <c r="F20" i="1"/>
  <c r="L20" i="1" s="1"/>
  <c r="G20" i="1"/>
  <c r="M20" i="1" s="1"/>
  <c r="B20" i="1"/>
  <c r="C13" i="1"/>
  <c r="I13" i="1" s="1"/>
  <c r="D13" i="1"/>
  <c r="E13" i="1"/>
  <c r="K13" i="1" s="1"/>
  <c r="F13" i="1"/>
  <c r="L13" i="1" s="1"/>
  <c r="G13" i="1"/>
  <c r="M13" i="1" s="1"/>
  <c r="B13" i="1"/>
  <c r="C58" i="2" l="1"/>
  <c r="C62" i="2" s="1"/>
  <c r="C74" i="2" s="1"/>
  <c r="C88" i="2"/>
  <c r="D58" i="2"/>
  <c r="D62" i="2" s="1"/>
  <c r="D74" i="2" s="1"/>
  <c r="D85" i="2"/>
  <c r="D88" i="2" s="1"/>
  <c r="E58" i="2"/>
  <c r="E62" i="2" s="1"/>
  <c r="E74" i="2" s="1"/>
  <c r="E85" i="2"/>
  <c r="E88" i="2" s="1"/>
  <c r="F58" i="2"/>
  <c r="F62" i="2" s="1"/>
  <c r="F74" i="2" s="1"/>
  <c r="F85" i="2"/>
  <c r="F88" i="2" s="1"/>
  <c r="G58" i="2"/>
  <c r="G62" i="2" s="1"/>
  <c r="G74" i="2" s="1"/>
  <c r="G85" i="2"/>
  <c r="G88" i="2" s="1"/>
  <c r="D32" i="2"/>
  <c r="D37" i="2" s="1"/>
  <c r="B32" i="2"/>
  <c r="B37" i="2" s="1"/>
  <c r="F32" i="2"/>
  <c r="F37" i="2" s="1"/>
  <c r="C21" i="2"/>
  <c r="C32" i="2"/>
  <c r="C37" i="2" s="1"/>
  <c r="D21" i="2"/>
  <c r="F21" i="2"/>
  <c r="G21" i="2"/>
  <c r="E32" i="2"/>
  <c r="E37" i="2" s="1"/>
  <c r="G32" i="2"/>
  <c r="G37" i="2" s="1"/>
  <c r="K31" i="1"/>
  <c r="N27" i="1"/>
  <c r="I20" i="1"/>
  <c r="N20" i="1" s="1"/>
  <c r="J13" i="1"/>
  <c r="N13" i="1" s="1"/>
  <c r="L31" i="1"/>
  <c r="N31" i="1" s="1"/>
  <c r="J36" i="1"/>
  <c r="N36" i="1" s="1"/>
  <c r="B32" i="1"/>
  <c r="B37" i="1" s="1"/>
  <c r="G21" i="1"/>
  <c r="F21" i="1"/>
  <c r="G32" i="1"/>
  <c r="F32" i="1"/>
  <c r="E21" i="2"/>
  <c r="B21" i="2"/>
  <c r="D21" i="1"/>
  <c r="C21" i="1"/>
  <c r="F49" i="1"/>
  <c r="F52" i="1" s="1"/>
  <c r="F54" i="1" s="1"/>
  <c r="E49" i="1"/>
  <c r="E63" i="1" s="1"/>
  <c r="E32" i="1"/>
  <c r="C32" i="1"/>
  <c r="D49" i="1"/>
  <c r="D52" i="1" s="1"/>
  <c r="D54" i="1" s="1"/>
  <c r="D32" i="1"/>
  <c r="E21" i="1"/>
  <c r="B49" i="1"/>
  <c r="B62" i="1"/>
  <c r="G49" i="1"/>
  <c r="H49" i="1" s="1"/>
  <c r="G62" i="1"/>
  <c r="C49" i="1"/>
  <c r="B21" i="1"/>
  <c r="F90" i="2" l="1"/>
  <c r="F92" i="2" s="1"/>
  <c r="F93" i="2" s="1"/>
  <c r="E90" i="2"/>
  <c r="E92" i="2" s="1"/>
  <c r="E93" i="2" s="1"/>
  <c r="D90" i="2"/>
  <c r="D92" i="2" s="1"/>
  <c r="D93" i="2" s="1"/>
  <c r="G90" i="2"/>
  <c r="G92" i="2" s="1"/>
  <c r="G93" i="2" s="1"/>
  <c r="C90" i="2"/>
  <c r="C92" i="2" s="1"/>
  <c r="C93" i="2" s="1"/>
  <c r="K21" i="1"/>
  <c r="L21" i="1"/>
  <c r="D37" i="1"/>
  <c r="J32" i="1"/>
  <c r="C37" i="1"/>
  <c r="I37" i="1" s="1"/>
  <c r="I32" i="1"/>
  <c r="E37" i="1"/>
  <c r="K37" i="1" s="1"/>
  <c r="K32" i="1"/>
  <c r="F37" i="1"/>
  <c r="L32" i="1"/>
  <c r="M32" i="1"/>
  <c r="U7" i="1"/>
  <c r="U8" i="1" s="1"/>
  <c r="I21" i="1"/>
  <c r="M21" i="1"/>
  <c r="J21" i="1"/>
  <c r="H32" i="1"/>
  <c r="X7" i="1"/>
  <c r="X8" i="1" s="1"/>
  <c r="H8" i="1"/>
  <c r="H16" i="1"/>
  <c r="H24" i="1"/>
  <c r="H9" i="1"/>
  <c r="H17" i="1"/>
  <c r="H25" i="1"/>
  <c r="H33" i="1"/>
  <c r="H10" i="1"/>
  <c r="H18" i="1"/>
  <c r="H26" i="1"/>
  <c r="H34" i="1"/>
  <c r="H11" i="1"/>
  <c r="H19" i="1"/>
  <c r="H35" i="1"/>
  <c r="H12" i="1"/>
  <c r="H28" i="1"/>
  <c r="H21" i="1"/>
  <c r="H29" i="1"/>
  <c r="H14" i="1"/>
  <c r="H22" i="1"/>
  <c r="H30" i="1"/>
  <c r="H7" i="1"/>
  <c r="H15" i="1"/>
  <c r="H23" i="1"/>
  <c r="G37" i="1"/>
  <c r="H31" i="1"/>
  <c r="T7" i="1"/>
  <c r="T8" i="1" s="1"/>
  <c r="H36" i="1"/>
  <c r="H13" i="1"/>
  <c r="H20" i="1"/>
  <c r="H27" i="1"/>
  <c r="D63" i="1"/>
  <c r="D57" i="1"/>
  <c r="D64" i="1" s="1"/>
  <c r="E57" i="1"/>
  <c r="E64" i="1" s="1"/>
  <c r="W7" i="1"/>
  <c r="W8" i="1" s="1"/>
  <c r="E52" i="1"/>
  <c r="E54" i="1" s="1"/>
  <c r="E59" i="1" s="1"/>
  <c r="F63" i="1"/>
  <c r="V7" i="1"/>
  <c r="V8" i="1" s="1"/>
  <c r="F57" i="1"/>
  <c r="F64" i="1" s="1"/>
  <c r="B52" i="1"/>
  <c r="B54" i="1" s="1"/>
  <c r="B65" i="1" s="1"/>
  <c r="B63" i="1"/>
  <c r="B57" i="1"/>
  <c r="B64" i="1" s="1"/>
  <c r="D59" i="1"/>
  <c r="D65" i="1"/>
  <c r="C63" i="1"/>
  <c r="C57" i="1"/>
  <c r="C64" i="1" s="1"/>
  <c r="C52" i="1"/>
  <c r="C54" i="1" s="1"/>
  <c r="G52" i="1"/>
  <c r="G63" i="1"/>
  <c r="G57" i="1"/>
  <c r="F59" i="1"/>
  <c r="F65" i="1"/>
  <c r="G64" i="1" l="1"/>
  <c r="H57" i="1"/>
  <c r="G54" i="1"/>
  <c r="H54" i="1" s="1"/>
  <c r="H52" i="1"/>
  <c r="L37" i="1"/>
  <c r="H37" i="1"/>
  <c r="M37" i="1"/>
  <c r="N32" i="1"/>
  <c r="N21" i="1"/>
  <c r="J37" i="1"/>
  <c r="E65" i="1"/>
  <c r="C65" i="1"/>
  <c r="C59" i="1"/>
  <c r="G59" i="1"/>
  <c r="G65" i="1"/>
  <c r="N37" i="1" l="1"/>
</calcChain>
</file>

<file path=xl/sharedStrings.xml><?xml version="1.0" encoding="utf-8"?>
<sst xmlns="http://schemas.openxmlformats.org/spreadsheetml/2006/main" count="216" uniqueCount="153">
  <si>
    <t>CREPES Y WAFFLES S.A.</t>
  </si>
  <si>
    <t>I5611 - Expendio a la mesa de comidas preparadas</t>
  </si>
  <si>
    <t>Pymes individuales</t>
  </si>
  <si>
    <t>Cifras en miles de pesos</t>
  </si>
  <si>
    <t>Ingresos de actividades ordinarias</t>
  </si>
  <si>
    <t>Costo de ventas</t>
  </si>
  <si>
    <t>Ganancia bruta</t>
  </si>
  <si>
    <t>Otros ingresos</t>
  </si>
  <si>
    <t>Gastos de ventas</t>
  </si>
  <si>
    <t>Gastos de administración</t>
  </si>
  <si>
    <t>Otros gastos</t>
  </si>
  <si>
    <t>Otras ganancias (pérdidas)</t>
  </si>
  <si>
    <t>Ganancia (pérdida) por actividades de operación</t>
  </si>
  <si>
    <t>Ingresos financieros</t>
  </si>
  <si>
    <t>Costos financieros</t>
  </si>
  <si>
    <t>Ganancia (pérdida), antes de impuestos</t>
  </si>
  <si>
    <t>Ingreso (gasto) por impuestos</t>
  </si>
  <si>
    <t>Ganancia (pérdida)</t>
  </si>
  <si>
    <t>Efectivo y equivalentes al efectivo</t>
  </si>
  <si>
    <t>Cuentas por cobrar corrientes</t>
  </si>
  <si>
    <t>Inventarios corrientes</t>
  </si>
  <si>
    <t>Activos por impuestos corrientes</t>
  </si>
  <si>
    <t>Otros activos financieros corrientes</t>
  </si>
  <si>
    <t>Otros activos no financieros corrientes</t>
  </si>
  <si>
    <t>Activos corrientes totales</t>
  </si>
  <si>
    <t>Propiedades, planta y equipo</t>
  </si>
  <si>
    <t>Propiedades de inversión</t>
  </si>
  <si>
    <t>Activos intangibles</t>
  </si>
  <si>
    <t>Cuentas por cobrar no corrientes</t>
  </si>
  <si>
    <t>Activos por impuestos diferidos</t>
  </si>
  <si>
    <t>Otros activos financieros no corrientes</t>
  </si>
  <si>
    <t>Total de activos no corrientes</t>
  </si>
  <si>
    <t>Total de activos</t>
  </si>
  <si>
    <t>Provisiones corrientes beneficios empleados</t>
  </si>
  <si>
    <t>Cuentas por pagar corrientes</t>
  </si>
  <si>
    <t>Pasivos por impuestos corrientes</t>
  </si>
  <si>
    <t>Otros pasivos financieros corrientes</t>
  </si>
  <si>
    <t>Otros pasivos no financieros corrientes</t>
  </si>
  <si>
    <t>Pasivos corrientes totales</t>
  </si>
  <si>
    <t>Pasivo por impuestos diferidos</t>
  </si>
  <si>
    <t>Pasivos por impuestos corrientes, no corriente</t>
  </si>
  <si>
    <t>Otros pasivos financieros no corrientes</t>
  </si>
  <si>
    <t>Total de pasivos no corrientes</t>
  </si>
  <si>
    <t>Total pasivos</t>
  </si>
  <si>
    <t>Capital emitido</t>
  </si>
  <si>
    <t>Otras reservas</t>
  </si>
  <si>
    <t>Ganancias acumuladas</t>
  </si>
  <si>
    <t>Patrimonio total</t>
  </si>
  <si>
    <t>Total de patrimonio y pasivos</t>
  </si>
  <si>
    <t>Nit</t>
  </si>
  <si>
    <t>Depreciaciones y Amortizaciones</t>
  </si>
  <si>
    <t>EBITDA</t>
  </si>
  <si>
    <t>Dividendos</t>
  </si>
  <si>
    <t>Considera los aumentos en las Reservas</t>
  </si>
  <si>
    <t>Margen Bruto</t>
  </si>
  <si>
    <t>Margen Operacional</t>
  </si>
  <si>
    <t>Margen EBITDA</t>
  </si>
  <si>
    <t>Margen Neto</t>
  </si>
  <si>
    <t>Deudas corto plazo</t>
  </si>
  <si>
    <t>Deudas largo plazo</t>
  </si>
  <si>
    <t>Total deudas financieras</t>
  </si>
  <si>
    <t>Intereses</t>
  </si>
  <si>
    <t>Intereses/Total deudas financieras</t>
  </si>
  <si>
    <t>CAPEX (Activo Fijo=PPE+Intangibles)</t>
  </si>
  <si>
    <t>Inventario/ventas</t>
  </si>
  <si>
    <t>CxC/Ventas</t>
  </si>
  <si>
    <t>CxP/Ventas</t>
  </si>
  <si>
    <t>Prom. Activos</t>
  </si>
  <si>
    <t>Rotación Activos</t>
  </si>
  <si>
    <t>veces</t>
  </si>
  <si>
    <t>Activos Fijos (AF) = CAPEX</t>
  </si>
  <si>
    <t>Prom. AF</t>
  </si>
  <si>
    <t>Rotación AF</t>
  </si>
  <si>
    <t>Prom. Inventarios</t>
  </si>
  <si>
    <t>Rotación Inventarios</t>
  </si>
  <si>
    <t>Días de Inventario</t>
  </si>
  <si>
    <t>días</t>
  </si>
  <si>
    <t>Prom. CxC</t>
  </si>
  <si>
    <t>Rotación CxC</t>
  </si>
  <si>
    <t>Días de CxC</t>
  </si>
  <si>
    <t>Inventario Inicial</t>
  </si>
  <si>
    <t>Inventario Final</t>
  </si>
  <si>
    <t>Compras</t>
  </si>
  <si>
    <t>Prom. CxP</t>
  </si>
  <si>
    <t>Rotación CxP</t>
  </si>
  <si>
    <t>Días de CxP</t>
  </si>
  <si>
    <t>Ciclo de efectivo</t>
  </si>
  <si>
    <t>KTNO</t>
  </si>
  <si>
    <t>Prom. KTNO</t>
  </si>
  <si>
    <t>Rotación KTNO</t>
  </si>
  <si>
    <t>A. Vertical</t>
  </si>
  <si>
    <t>Análisis Horizontal</t>
  </si>
  <si>
    <t>Promedio</t>
  </si>
  <si>
    <t>KTNO/Ventas</t>
  </si>
  <si>
    <t>Nivel endeudamiento (Pasivo total)</t>
  </si>
  <si>
    <t>Nivel endeudamiento (Deuda total)</t>
  </si>
  <si>
    <t>Apalancamiento financiero</t>
  </si>
  <si>
    <t>Cobertura de intereses desde el EBIT</t>
  </si>
  <si>
    <t>Cobertura de intereses desde el EBITDA</t>
  </si>
  <si>
    <t>Impacto carga financiera</t>
  </si>
  <si>
    <t>ROA</t>
  </si>
  <si>
    <t>ROE</t>
  </si>
  <si>
    <t>ROA Operacional (EBIT)</t>
  </si>
  <si>
    <t>ROA Operacional (EBITDA)</t>
  </si>
  <si>
    <t>DuPont</t>
  </si>
  <si>
    <t>Rotación de Activos</t>
  </si>
  <si>
    <t>Multiplicador de Capital</t>
  </si>
  <si>
    <t>Utilidad Neta</t>
  </si>
  <si>
    <t>+ Depreciación y Amortización</t>
  </si>
  <si>
    <t>- Ingresos Financieros</t>
  </si>
  <si>
    <t>+ Costo Financiero</t>
  </si>
  <si>
    <t>Generación Interna de Fondos (GIF)</t>
  </si>
  <si>
    <t>Δ KTNO</t>
  </si>
  <si>
    <t>Δ CxC</t>
  </si>
  <si>
    <t>Δ Inventarios</t>
  </si>
  <si>
    <t>Δ CxP</t>
  </si>
  <si>
    <t>Δ Otros Activos corrientes</t>
  </si>
  <si>
    <t>Δ Activos por impuestos corrientes</t>
  </si>
  <si>
    <t>Δ Otros activos financieros corrientes</t>
  </si>
  <si>
    <t>Δ Otros activos no financieros corrientes</t>
  </si>
  <si>
    <t>Δ Otros Pasivos corrientes</t>
  </si>
  <si>
    <t>Δ Pasivos por impuestos corrientes</t>
  </si>
  <si>
    <t>Δ Otros pasivos no financieros corrientes</t>
  </si>
  <si>
    <t>Δ Provisiones corrientes beneficios empleados</t>
  </si>
  <si>
    <t>Δ Otros Pasivos no corrientes</t>
  </si>
  <si>
    <t>Δ Pasivo por impuestos diferidos</t>
  </si>
  <si>
    <t>Δ Pasivos por impuestos corrientes, no corriente</t>
  </si>
  <si>
    <t>Efectivo generado por Operación - EGO (a)</t>
  </si>
  <si>
    <t>Deudas fiscales y sociales (espontáneos)</t>
  </si>
  <si>
    <t>Δ CAPEX (Capital Expenditure)</t>
  </si>
  <si>
    <t>Inversiones o desinversiones en CAPEX (tener en cuenta las Depreciaciones y Amortizaciones)</t>
  </si>
  <si>
    <t>Δ Activos Fijos</t>
  </si>
  <si>
    <t>Δ Otros Activos no corrientes</t>
  </si>
  <si>
    <t>Δ Propiedades de inversión</t>
  </si>
  <si>
    <t>Δ Cuentas por cobrar no corrientes</t>
  </si>
  <si>
    <t>Δ Activos por impuestos diferidos</t>
  </si>
  <si>
    <t>Δ Otros activos financieros no corrientes</t>
  </si>
  <si>
    <t>Flujo de Efectivo generado por Inversiones (b)</t>
  </si>
  <si>
    <t>Δ Deudas financieras de corto y largo plazo</t>
  </si>
  <si>
    <t>Δ Otros pasivos financieros corrientes</t>
  </si>
  <si>
    <t>Δ Otros pasivos financieros no corrientes</t>
  </si>
  <si>
    <t>Aportes de capital accionario</t>
  </si>
  <si>
    <t>Δ Capital emitido</t>
  </si>
  <si>
    <t>Δ Otras reservas</t>
  </si>
  <si>
    <t>- Dividendos</t>
  </si>
  <si>
    <t>Intereses generados por Pasivos</t>
  </si>
  <si>
    <t>- Costo Financiero</t>
  </si>
  <si>
    <t>Intereses ganados por Activos</t>
  </si>
  <si>
    <t>+ Ingresos Financieros</t>
  </si>
  <si>
    <t>Flujo de Efectivo = (a) + (b) + (c)</t>
  </si>
  <si>
    <t>Saldo inicial de caja</t>
  </si>
  <si>
    <t>Saldo final de caja</t>
  </si>
  <si>
    <t>Flujo de Efectivo generado por el Financiamiento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</si>
</sst>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indexed="8"/>
      <name val="Arial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2"/>
      <color theme="9" tint="-0.499984740745262"/>
      <name val="Franklin Gothic Book"/>
      <family val="2"/>
    </font>
    <font>
      <b/>
      <sz val="12"/>
      <color theme="1"/>
      <name val="Franklin Gothic Book"/>
      <family val="2"/>
    </font>
    <font>
      <sz val="12"/>
      <color theme="1"/>
      <name val="Aptos Narrow"/>
      <family val="2"/>
      <scheme val="minor"/>
    </font>
    <font>
      <b/>
      <sz val="12"/>
      <color rgb="FF14085C"/>
      <name val="Franklin Gothic Book"/>
      <family val="2"/>
    </font>
    <font>
      <sz val="12"/>
      <color rgb="FFFF0000"/>
      <name val="Franklin Gothic Book"/>
      <family val="2"/>
    </font>
    <font>
      <sz val="12"/>
      <color theme="7" tint="-0.249977111117893"/>
      <name val="Franklin Gothic Book"/>
      <family val="2"/>
    </font>
    <font>
      <b/>
      <sz val="12"/>
      <color rgb="FFFF0000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C4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4">
    <xf numFmtId="0" fontId="0" fillId="0" borderId="0" xfId="0"/>
    <xf numFmtId="165" fontId="3" fillId="0" borderId="0" xfId="2" applyNumberFormat="1" applyFont="1" applyBorder="1" applyAlignment="1">
      <alignment horizontal="center" vertical="center"/>
    </xf>
    <xf numFmtId="165" fontId="4" fillId="0" borderId="0" xfId="2" applyNumberFormat="1" applyFont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49" fontId="4" fillId="0" borderId="1" xfId="2" applyNumberFormat="1" applyFont="1" applyBorder="1" applyAlignment="1">
      <alignment horizontal="center" vertical="center"/>
    </xf>
    <xf numFmtId="6" fontId="5" fillId="2" borderId="1" xfId="0" applyNumberFormat="1" applyFont="1" applyFill="1" applyBorder="1" applyAlignment="1">
      <alignment horizontal="center" vertical="center"/>
    </xf>
    <xf numFmtId="6" fontId="6" fillId="0" borderId="2" xfId="0" applyNumberFormat="1" applyFont="1" applyBorder="1" applyAlignment="1">
      <alignment horizontal="center" vertical="center"/>
    </xf>
    <xf numFmtId="165" fontId="4" fillId="0" borderId="0" xfId="2" applyNumberFormat="1" applyFont="1" applyFill="1" applyBorder="1" applyAlignment="1">
      <alignment vertical="center"/>
    </xf>
    <xf numFmtId="166" fontId="5" fillId="2" borderId="1" xfId="1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165" fontId="3" fillId="0" borderId="0" xfId="2" applyNumberFormat="1" applyFont="1" applyFill="1" applyBorder="1" applyAlignment="1">
      <alignment vertical="center"/>
    </xf>
    <xf numFmtId="0" fontId="7" fillId="0" borderId="0" xfId="0" applyFont="1"/>
    <xf numFmtId="6" fontId="0" fillId="0" borderId="0" xfId="0" applyNumberFormat="1"/>
    <xf numFmtId="165" fontId="8" fillId="0" borderId="0" xfId="2" applyNumberFormat="1" applyFont="1" applyBorder="1" applyAlignment="1">
      <alignment vertical="center"/>
    </xf>
    <xf numFmtId="167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6" fontId="5" fillId="2" borderId="0" xfId="0" applyNumberFormat="1" applyFont="1" applyFill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9" fontId="6" fillId="0" borderId="2" xfId="1" applyFont="1" applyBorder="1" applyAlignment="1">
      <alignment horizontal="center" vertical="center"/>
    </xf>
    <xf numFmtId="9" fontId="6" fillId="3" borderId="2" xfId="1" applyFont="1" applyFill="1" applyBorder="1" applyAlignment="1">
      <alignment horizontal="center" vertical="center"/>
    </xf>
    <xf numFmtId="9" fontId="6" fillId="4" borderId="2" xfId="1" applyFont="1" applyFill="1" applyBorder="1" applyAlignment="1">
      <alignment horizontal="center" vertical="center"/>
    </xf>
    <xf numFmtId="167" fontId="5" fillId="2" borderId="1" xfId="1" applyNumberFormat="1" applyFont="1" applyFill="1" applyBorder="1" applyAlignment="1">
      <alignment horizontal="center" vertical="center"/>
    </xf>
    <xf numFmtId="166" fontId="9" fillId="2" borderId="1" xfId="1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6" fillId="0" borderId="2" xfId="1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vertical="center"/>
    </xf>
    <xf numFmtId="165" fontId="10" fillId="0" borderId="0" xfId="2" applyNumberFormat="1" applyFont="1" applyBorder="1" applyAlignment="1">
      <alignment vertical="center"/>
    </xf>
    <xf numFmtId="6" fontId="5" fillId="5" borderId="1" xfId="0" applyNumberFormat="1" applyFont="1" applyFill="1" applyBorder="1" applyAlignment="1">
      <alignment horizontal="center" vertical="center"/>
    </xf>
    <xf numFmtId="6" fontId="6" fillId="5" borderId="2" xfId="0" applyNumberFormat="1" applyFont="1" applyFill="1" applyBorder="1" applyAlignment="1">
      <alignment horizontal="center" vertical="center"/>
    </xf>
    <xf numFmtId="6" fontId="5" fillId="5" borderId="0" xfId="0" applyNumberFormat="1" applyFont="1" applyFill="1" applyAlignment="1">
      <alignment horizontal="center" vertical="center"/>
    </xf>
    <xf numFmtId="165" fontId="3" fillId="0" borderId="0" xfId="2" applyNumberFormat="1" applyFont="1" applyBorder="1" applyAlignment="1">
      <alignment vertical="center" wrapText="1"/>
    </xf>
    <xf numFmtId="165" fontId="3" fillId="0" borderId="0" xfId="2" applyNumberFormat="1" applyFont="1" applyBorder="1" applyAlignment="1">
      <alignment horizontal="left" vertical="center"/>
    </xf>
    <xf numFmtId="165" fontId="3" fillId="0" borderId="0" xfId="2" applyNumberFormat="1" applyFont="1" applyFill="1" applyBorder="1" applyAlignment="1">
      <alignment horizontal="center" vertical="center"/>
    </xf>
    <xf numFmtId="49" fontId="10" fillId="0" borderId="0" xfId="2" applyNumberFormat="1" applyFont="1" applyFill="1" applyBorder="1" applyAlignment="1">
      <alignment vertical="center"/>
    </xf>
    <xf numFmtId="6" fontId="5" fillId="6" borderId="0" xfId="0" applyNumberFormat="1" applyFont="1" applyFill="1" applyAlignment="1">
      <alignment horizontal="center" vertical="center"/>
    </xf>
    <xf numFmtId="6" fontId="5" fillId="4" borderId="0" xfId="0" applyNumberFormat="1" applyFont="1" applyFill="1" applyAlignment="1">
      <alignment horizontal="center" vertical="center"/>
    </xf>
    <xf numFmtId="166" fontId="11" fillId="0" borderId="2" xfId="1" applyNumberFormat="1" applyFont="1" applyBorder="1" applyAlignment="1">
      <alignment horizontal="center" vertical="center"/>
    </xf>
    <xf numFmtId="165" fontId="3" fillId="0" borderId="0" xfId="2" applyNumberFormat="1" applyFont="1" applyFill="1" applyBorder="1" applyAlignment="1">
      <alignment horizontal="left" vertical="center"/>
    </xf>
    <xf numFmtId="165" fontId="3" fillId="0" borderId="3" xfId="2" applyNumberFormat="1" applyFont="1" applyFill="1" applyBorder="1" applyAlignment="1">
      <alignment horizontal="left" vertical="center"/>
    </xf>
    <xf numFmtId="49" fontId="4" fillId="0" borderId="1" xfId="2" applyNumberFormat="1" applyFont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/>
    </xf>
    <xf numFmtId="165" fontId="8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0" xfId="2" applyNumberFormat="1" applyFont="1" applyBorder="1" applyAlignment="1">
      <alignment horizontal="center" vertical="center"/>
    </xf>
    <xf numFmtId="165" fontId="3" fillId="0" borderId="0" xfId="2" applyNumberFormat="1" applyFont="1" applyBorder="1" applyAlignment="1">
      <alignment horizontal="center" vertical="center" wrapText="1"/>
    </xf>
    <xf numFmtId="165" fontId="4" fillId="0" borderId="0" xfId="2" applyNumberFormat="1" applyFont="1" applyBorder="1" applyAlignment="1">
      <alignment horizontal="right" vertical="center"/>
    </xf>
    <xf numFmtId="165" fontId="4" fillId="0" borderId="3" xfId="2" applyNumberFormat="1" applyFont="1" applyBorder="1" applyAlignment="1">
      <alignment horizontal="right" vertical="center"/>
    </xf>
    <xf numFmtId="165" fontId="3" fillId="0" borderId="0" xfId="2" applyNumberFormat="1" applyFont="1" applyFill="1" applyBorder="1" applyAlignment="1">
      <alignment horizontal="right" vertical="center"/>
    </xf>
    <xf numFmtId="165" fontId="3" fillId="0" borderId="3" xfId="2" applyNumberFormat="1" applyFont="1" applyFill="1" applyBorder="1" applyAlignment="1">
      <alignment horizontal="right" vertical="center"/>
    </xf>
    <xf numFmtId="165" fontId="4" fillId="0" borderId="0" xfId="2" applyNumberFormat="1" applyFont="1" applyFill="1" applyBorder="1" applyAlignment="1">
      <alignment horizontal="right" vertical="center"/>
    </xf>
    <xf numFmtId="165" fontId="4" fillId="0" borderId="3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Border="1" applyAlignment="1">
      <alignment horizontal="center" vertical="center"/>
    </xf>
  </cellXfs>
  <cellStyles count="3">
    <cellStyle name="Comma 28" xfId="2" xr:uid="{1B281917-90F6-4B6C-94DE-304E6A143C7C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EFC4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700512</xdr:colOff>
      <xdr:row>4</xdr:row>
      <xdr:rowOff>158750</xdr:rowOff>
    </xdr:from>
    <xdr:to>
      <xdr:col>29</xdr:col>
      <xdr:colOff>160528</xdr:colOff>
      <xdr:row>6</xdr:row>
      <xdr:rowOff>57731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EBBCB694-A203-48EB-94BF-B2A6FA8E11A5}"/>
                </a:ext>
              </a:extLst>
            </xdr:cNvPr>
            <xdr:cNvSpPr txBox="1"/>
          </xdr:nvSpPr>
          <xdr:spPr>
            <a:xfrm>
              <a:off x="19648912" y="971550"/>
              <a:ext cx="3270016" cy="286331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Rotaci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ó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n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Activos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Ventas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Promedio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Activos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Totales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EBBCB694-A203-48EB-94BF-B2A6FA8E11A5}"/>
                </a:ext>
              </a:extLst>
            </xdr:cNvPr>
            <xdr:cNvSpPr txBox="1"/>
          </xdr:nvSpPr>
          <xdr:spPr>
            <a:xfrm>
              <a:off x="19648912" y="971550"/>
              <a:ext cx="3270016" cy="286331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"Rotación de Activos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"Ventas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Promedio Activos Totales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25</xdr:col>
      <xdr:colOff>47367</xdr:colOff>
      <xdr:row>8</xdr:row>
      <xdr:rowOff>172962</xdr:rowOff>
    </xdr:from>
    <xdr:to>
      <xdr:col>28</xdr:col>
      <xdr:colOff>760034</xdr:colOff>
      <xdr:row>10</xdr:row>
      <xdr:rowOff>77356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8">
              <a:extLst>
                <a:ext uri="{FF2B5EF4-FFF2-40B4-BE49-F238E27FC236}">
                  <a16:creationId xmlns:a16="http://schemas.microsoft.com/office/drawing/2014/main" id="{DD6F42E8-46A7-410C-AC65-1E05757A85B9}"/>
                </a:ext>
              </a:extLst>
            </xdr:cNvPr>
            <xdr:cNvSpPr txBox="1"/>
          </xdr:nvSpPr>
          <xdr:spPr>
            <a:xfrm>
              <a:off x="19757767" y="1779512"/>
              <a:ext cx="2998667" cy="310794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Rotaci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ó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n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Activos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Fijos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Ventas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Promedio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Activos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Fijos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3" name="CuadroTexto 8">
              <a:extLst>
                <a:ext uri="{FF2B5EF4-FFF2-40B4-BE49-F238E27FC236}">
                  <a16:creationId xmlns:a16="http://schemas.microsoft.com/office/drawing/2014/main" id="{DD6F42E8-46A7-410C-AC65-1E05757A85B9}"/>
                </a:ext>
              </a:extLst>
            </xdr:cNvPr>
            <xdr:cNvSpPr txBox="1"/>
          </xdr:nvSpPr>
          <xdr:spPr>
            <a:xfrm>
              <a:off x="19757767" y="1779512"/>
              <a:ext cx="2998667" cy="310794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"Rotación Activos Fijos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"Ventas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Promedio Activos Fijos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24</xdr:col>
      <xdr:colOff>747546</xdr:colOff>
      <xdr:row>13</xdr:row>
      <xdr:rowOff>72516</xdr:rowOff>
    </xdr:from>
    <xdr:to>
      <xdr:col>29</xdr:col>
      <xdr:colOff>37996</xdr:colOff>
      <xdr:row>14</xdr:row>
      <xdr:rowOff>156949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14">
              <a:extLst>
                <a:ext uri="{FF2B5EF4-FFF2-40B4-BE49-F238E27FC236}">
                  <a16:creationId xmlns:a16="http://schemas.microsoft.com/office/drawing/2014/main" id="{78FB55E6-210D-4FD3-A05E-9510C7E6E20B}"/>
                </a:ext>
              </a:extLst>
            </xdr:cNvPr>
            <xdr:cNvSpPr txBox="1"/>
          </xdr:nvSpPr>
          <xdr:spPr>
            <a:xfrm>
              <a:off x="19695946" y="2695066"/>
              <a:ext cx="3100450" cy="28763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Rotaci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ó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n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Inventarios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Costos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de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Ventas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Promedio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Inventarios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4" name="CuadroTexto 14">
              <a:extLst>
                <a:ext uri="{FF2B5EF4-FFF2-40B4-BE49-F238E27FC236}">
                  <a16:creationId xmlns:a16="http://schemas.microsoft.com/office/drawing/2014/main" id="{78FB55E6-210D-4FD3-A05E-9510C7E6E20B}"/>
                </a:ext>
              </a:extLst>
            </xdr:cNvPr>
            <xdr:cNvSpPr txBox="1"/>
          </xdr:nvSpPr>
          <xdr:spPr>
            <a:xfrm>
              <a:off x="19695946" y="2695066"/>
              <a:ext cx="3100450" cy="28763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"Rotación de Inventarios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"Costos de Ventas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Promedio Inventarios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25</xdr:col>
      <xdr:colOff>184920</xdr:colOff>
      <xdr:row>15</xdr:row>
      <xdr:rowOff>43223</xdr:rowOff>
    </xdr:from>
    <xdr:to>
      <xdr:col>28</xdr:col>
      <xdr:colOff>520446</xdr:colOff>
      <xdr:row>16</xdr:row>
      <xdr:rowOff>130843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12">
              <a:extLst>
                <a:ext uri="{FF2B5EF4-FFF2-40B4-BE49-F238E27FC236}">
                  <a16:creationId xmlns:a16="http://schemas.microsoft.com/office/drawing/2014/main" id="{8BA37199-734E-4680-BB41-45D6C83EAECB}"/>
                </a:ext>
              </a:extLst>
            </xdr:cNvPr>
            <xdr:cNvSpPr txBox="1"/>
          </xdr:nvSpPr>
          <xdr:spPr>
            <a:xfrm>
              <a:off x="19895320" y="3072173"/>
              <a:ext cx="2621526" cy="29082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í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Inventario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365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Rotaci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ó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n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de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Inventarios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5" name="CuadroTexto 12">
              <a:extLst>
                <a:ext uri="{FF2B5EF4-FFF2-40B4-BE49-F238E27FC236}">
                  <a16:creationId xmlns:a16="http://schemas.microsoft.com/office/drawing/2014/main" id="{8BA37199-734E-4680-BB41-45D6C83EAECB}"/>
                </a:ext>
              </a:extLst>
            </xdr:cNvPr>
            <xdr:cNvSpPr txBox="1"/>
          </xdr:nvSpPr>
          <xdr:spPr>
            <a:xfrm>
              <a:off x="19895320" y="3072173"/>
              <a:ext cx="2621526" cy="29082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"Días de Inventario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"365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Rotación de Inventarios</a:t>
              </a:r>
              <a:r>
                <a:rPr lang="es-MX" sz="100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25</xdr:col>
      <xdr:colOff>12168</xdr:colOff>
      <xdr:row>17</xdr:row>
      <xdr:rowOff>75663</xdr:rowOff>
    </xdr:from>
    <xdr:to>
      <xdr:col>30</xdr:col>
      <xdr:colOff>7505</xdr:colOff>
      <xdr:row>19</xdr:row>
      <xdr:rowOff>75091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15">
              <a:extLst>
                <a:ext uri="{FF2B5EF4-FFF2-40B4-BE49-F238E27FC236}">
                  <a16:creationId xmlns:a16="http://schemas.microsoft.com/office/drawing/2014/main" id="{247ADE32-8ACE-4ACE-A274-E0F200F709E1}"/>
                </a:ext>
              </a:extLst>
            </xdr:cNvPr>
            <xdr:cNvSpPr txBox="1"/>
          </xdr:nvSpPr>
          <xdr:spPr>
            <a:xfrm>
              <a:off x="19722568" y="3511013"/>
              <a:ext cx="3805337" cy="40582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Rotaci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ó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n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Cuentas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por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Cobrar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Ventas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Promedio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Cuentas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por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Cobrar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6" name="CuadroTexto 15">
              <a:extLst>
                <a:ext uri="{FF2B5EF4-FFF2-40B4-BE49-F238E27FC236}">
                  <a16:creationId xmlns:a16="http://schemas.microsoft.com/office/drawing/2014/main" id="{247ADE32-8ACE-4ACE-A274-E0F200F709E1}"/>
                </a:ext>
              </a:extLst>
            </xdr:cNvPr>
            <xdr:cNvSpPr txBox="1"/>
          </xdr:nvSpPr>
          <xdr:spPr>
            <a:xfrm>
              <a:off x="19722568" y="3511013"/>
              <a:ext cx="3805337" cy="40582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"Rotación Cuentas por Cobrar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"Ventas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Promedio Cuentas por Cobrar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25</xdr:col>
      <xdr:colOff>63638</xdr:colOff>
      <xdr:row>19</xdr:row>
      <xdr:rowOff>65801</xdr:rowOff>
    </xdr:from>
    <xdr:to>
      <xdr:col>29</xdr:col>
      <xdr:colOff>739871</xdr:colOff>
      <xdr:row>20</xdr:row>
      <xdr:rowOff>177275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13">
              <a:extLst>
                <a:ext uri="{FF2B5EF4-FFF2-40B4-BE49-F238E27FC236}">
                  <a16:creationId xmlns:a16="http://schemas.microsoft.com/office/drawing/2014/main" id="{8422B0D0-AAAD-4BAE-868C-DAFF26463EBD}"/>
                </a:ext>
              </a:extLst>
            </xdr:cNvPr>
            <xdr:cNvSpPr txBox="1"/>
          </xdr:nvSpPr>
          <xdr:spPr>
            <a:xfrm>
              <a:off x="19774038" y="3907551"/>
              <a:ext cx="3724233" cy="314674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í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Cuentas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por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Cobrar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365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Rotaci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ó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n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de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Cuentas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por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Cobrar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7" name="CuadroTexto 13">
              <a:extLst>
                <a:ext uri="{FF2B5EF4-FFF2-40B4-BE49-F238E27FC236}">
                  <a16:creationId xmlns:a16="http://schemas.microsoft.com/office/drawing/2014/main" id="{8422B0D0-AAAD-4BAE-868C-DAFF26463EBD}"/>
                </a:ext>
              </a:extLst>
            </xdr:cNvPr>
            <xdr:cNvSpPr txBox="1"/>
          </xdr:nvSpPr>
          <xdr:spPr>
            <a:xfrm>
              <a:off x="19774038" y="3907551"/>
              <a:ext cx="3724233" cy="314674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"Días de Cuentas por Cobrar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"365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Rotación de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Cuentas por Cobrar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24</xdr:col>
      <xdr:colOff>743995</xdr:colOff>
      <xdr:row>23</xdr:row>
      <xdr:rowOff>61166</xdr:rowOff>
    </xdr:from>
    <xdr:to>
      <xdr:col>29</xdr:col>
      <xdr:colOff>733093</xdr:colOff>
      <xdr:row>24</xdr:row>
      <xdr:rowOff>174396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2">
              <a:extLst>
                <a:ext uri="{FF2B5EF4-FFF2-40B4-BE49-F238E27FC236}">
                  <a16:creationId xmlns:a16="http://schemas.microsoft.com/office/drawing/2014/main" id="{2352CC71-8258-45BE-932A-E1CFFDD67370}"/>
                </a:ext>
              </a:extLst>
            </xdr:cNvPr>
            <xdr:cNvSpPr txBox="1"/>
          </xdr:nvSpPr>
          <xdr:spPr>
            <a:xfrm>
              <a:off x="19692395" y="4715716"/>
              <a:ext cx="3799098" cy="31643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Rotaci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ó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n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Cuentas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por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Pagar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Compras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Promedio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Cuentas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por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Pagar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8" name="CuadroTexto 2">
              <a:extLst>
                <a:ext uri="{FF2B5EF4-FFF2-40B4-BE49-F238E27FC236}">
                  <a16:creationId xmlns:a16="http://schemas.microsoft.com/office/drawing/2014/main" id="{2352CC71-8258-45BE-932A-E1CFFDD67370}"/>
                </a:ext>
              </a:extLst>
            </xdr:cNvPr>
            <xdr:cNvSpPr txBox="1"/>
          </xdr:nvSpPr>
          <xdr:spPr>
            <a:xfrm>
              <a:off x="19692395" y="4715716"/>
              <a:ext cx="3799098" cy="31643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"Rotación Cuentas por Pagar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"Compras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Promedio Cuentas por Pagar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25</xdr:col>
      <xdr:colOff>28142</xdr:colOff>
      <xdr:row>21</xdr:row>
      <xdr:rowOff>199612</xdr:rowOff>
    </xdr:from>
    <xdr:to>
      <xdr:col>30</xdr:col>
      <xdr:colOff>239163</xdr:colOff>
      <xdr:row>22</xdr:row>
      <xdr:rowOff>145189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11">
              <a:extLst>
                <a:ext uri="{FF2B5EF4-FFF2-40B4-BE49-F238E27FC236}">
                  <a16:creationId xmlns:a16="http://schemas.microsoft.com/office/drawing/2014/main" id="{E9B3A905-2653-471F-8F52-73983F1D30E6}"/>
                </a:ext>
              </a:extLst>
            </xdr:cNvPr>
            <xdr:cNvSpPr txBox="1"/>
          </xdr:nvSpPr>
          <xdr:spPr>
            <a:xfrm>
              <a:off x="19738542" y="4447762"/>
              <a:ext cx="4021021" cy="14877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Compras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Costo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Ventas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+ 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Inventario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Final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– 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Inventario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Inicial</m:t>
                    </m:r>
                  </m:oMath>
                </m:oMathPara>
              </a14:m>
              <a:endParaRPr lang="es-CO" sz="100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9" name="CuadroTexto 11">
              <a:extLst>
                <a:ext uri="{FF2B5EF4-FFF2-40B4-BE49-F238E27FC236}">
                  <a16:creationId xmlns:a16="http://schemas.microsoft.com/office/drawing/2014/main" id="{E9B3A905-2653-471F-8F52-73983F1D30E6}"/>
                </a:ext>
              </a:extLst>
            </xdr:cNvPr>
            <xdr:cNvSpPr txBox="1"/>
          </xdr:nvSpPr>
          <xdr:spPr>
            <a:xfrm>
              <a:off x="19738542" y="4447762"/>
              <a:ext cx="4021021" cy="14877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"Compras = Costo de Ventas + Inventario Final – Inventario Inicial</a:t>
              </a:r>
              <a:r>
                <a:rPr lang="es-CO" sz="1000" b="0" i="0">
                  <a:solidFill>
                    <a:schemeClr val="tx1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"</a:t>
              </a:r>
              <a:endParaRPr lang="es-CO" sz="100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24</xdr:col>
      <xdr:colOff>546100</xdr:colOff>
      <xdr:row>25</xdr:row>
      <xdr:rowOff>28745</xdr:rowOff>
    </xdr:from>
    <xdr:to>
      <xdr:col>30</xdr:col>
      <xdr:colOff>215966</xdr:colOff>
      <xdr:row>26</xdr:row>
      <xdr:rowOff>141274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13">
              <a:extLst>
                <a:ext uri="{FF2B5EF4-FFF2-40B4-BE49-F238E27FC236}">
                  <a16:creationId xmlns:a16="http://schemas.microsoft.com/office/drawing/2014/main" id="{71794E08-61E1-4644-9B45-05044F3C78FD}"/>
                </a:ext>
              </a:extLst>
            </xdr:cNvPr>
            <xdr:cNvSpPr txBox="1"/>
          </xdr:nvSpPr>
          <xdr:spPr>
            <a:xfrm>
              <a:off x="19494500" y="5089695"/>
              <a:ext cx="4241866" cy="31572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í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Cuentas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por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Pagar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365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Rotaci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ó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n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de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Cuentas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por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Pagar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10" name="CuadroTexto 13">
              <a:extLst>
                <a:ext uri="{FF2B5EF4-FFF2-40B4-BE49-F238E27FC236}">
                  <a16:creationId xmlns:a16="http://schemas.microsoft.com/office/drawing/2014/main" id="{71794E08-61E1-4644-9B45-05044F3C78FD}"/>
                </a:ext>
              </a:extLst>
            </xdr:cNvPr>
            <xdr:cNvSpPr txBox="1"/>
          </xdr:nvSpPr>
          <xdr:spPr>
            <a:xfrm>
              <a:off x="19494500" y="5089695"/>
              <a:ext cx="4241866" cy="31572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"Días de Cuentas por Pagar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"365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Rotación de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Cuentas por Pagar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25</xdr:col>
      <xdr:colOff>144098</xdr:colOff>
      <xdr:row>28</xdr:row>
      <xdr:rowOff>135049</xdr:rowOff>
    </xdr:from>
    <xdr:to>
      <xdr:col>30</xdr:col>
      <xdr:colOff>186617</xdr:colOff>
      <xdr:row>29</xdr:row>
      <xdr:rowOff>80446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">
              <a:extLst>
                <a:ext uri="{FF2B5EF4-FFF2-40B4-BE49-F238E27FC236}">
                  <a16:creationId xmlns:a16="http://schemas.microsoft.com/office/drawing/2014/main" id="{717C560E-B824-419D-B55A-1BFC81E8C0C2}"/>
                </a:ext>
              </a:extLst>
            </xdr:cNvPr>
            <xdr:cNvSpPr txBox="1"/>
          </xdr:nvSpPr>
          <xdr:spPr>
            <a:xfrm>
              <a:off x="19854498" y="5805599"/>
              <a:ext cx="3852519" cy="14859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Ciclo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efectivo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í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Inventario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+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í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CxC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–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í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CxP</m:t>
                    </m:r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11" name="CuadroTexto 1">
              <a:extLst>
                <a:ext uri="{FF2B5EF4-FFF2-40B4-BE49-F238E27FC236}">
                  <a16:creationId xmlns:a16="http://schemas.microsoft.com/office/drawing/2014/main" id="{717C560E-B824-419D-B55A-1BFC81E8C0C2}"/>
                </a:ext>
              </a:extLst>
            </xdr:cNvPr>
            <xdr:cNvSpPr txBox="1"/>
          </xdr:nvSpPr>
          <xdr:spPr>
            <a:xfrm>
              <a:off x="19854498" y="5805599"/>
              <a:ext cx="3852519" cy="14859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"Ciclo de efectivo = Días de Inventario + Días de CxC – Días de CxP</a:t>
              </a:r>
              <a:r>
                <a:rPr lang="es-CO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"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25</xdr:col>
      <xdr:colOff>115702</xdr:colOff>
      <xdr:row>30</xdr:row>
      <xdr:rowOff>1045</xdr:rowOff>
    </xdr:from>
    <xdr:to>
      <xdr:col>30</xdr:col>
      <xdr:colOff>571541</xdr:colOff>
      <xdr:row>31</xdr:row>
      <xdr:rowOff>142581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18612AEA-BBC1-49A7-AFE2-3A58CB44740E}"/>
            </a:ext>
          </a:extLst>
        </xdr:cNvPr>
        <xdr:cNvSpPr txBox="1"/>
      </xdr:nvSpPr>
      <xdr:spPr>
        <a:xfrm>
          <a:off x="19826102" y="6077995"/>
          <a:ext cx="4265839" cy="34473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200000"/>
            </a:lnSpc>
          </a:pPr>
          <a:r>
            <a:rPr lang="es-MX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KTNO = Efectivo + CxC + Inventario – CxP – Otras CxP</a:t>
          </a:r>
          <a:endParaRPr lang="es-CO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24</xdr:col>
      <xdr:colOff>739561</xdr:colOff>
      <xdr:row>32</xdr:row>
      <xdr:rowOff>46561</xdr:rowOff>
    </xdr:from>
    <xdr:to>
      <xdr:col>28</xdr:col>
      <xdr:colOff>716769</xdr:colOff>
      <xdr:row>33</xdr:row>
      <xdr:rowOff>133977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3">
              <a:extLst>
                <a:ext uri="{FF2B5EF4-FFF2-40B4-BE49-F238E27FC236}">
                  <a16:creationId xmlns:a16="http://schemas.microsoft.com/office/drawing/2014/main" id="{607C5AA1-7CD5-48AF-B1D0-C1B7BF894DCE}"/>
                </a:ext>
              </a:extLst>
            </xdr:cNvPr>
            <xdr:cNvSpPr txBox="1"/>
          </xdr:nvSpPr>
          <xdr:spPr>
            <a:xfrm>
              <a:off x="19687961" y="6529911"/>
              <a:ext cx="3025208" cy="290616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Rotaci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ó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n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Capital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Trabajo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Ventas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Promedio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KTNO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13" name="CuadroTexto 13">
              <a:extLst>
                <a:ext uri="{FF2B5EF4-FFF2-40B4-BE49-F238E27FC236}">
                  <a16:creationId xmlns:a16="http://schemas.microsoft.com/office/drawing/2014/main" id="{607C5AA1-7CD5-48AF-B1D0-C1B7BF894DCE}"/>
                </a:ext>
              </a:extLst>
            </xdr:cNvPr>
            <xdr:cNvSpPr txBox="1"/>
          </xdr:nvSpPr>
          <xdr:spPr>
            <a:xfrm>
              <a:off x="19687961" y="6529911"/>
              <a:ext cx="3025208" cy="290616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"Rotación Capital de Trabajo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"Ventas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Promedio KTNO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8</xdr:col>
      <xdr:colOff>133349</xdr:colOff>
      <xdr:row>81</xdr:row>
      <xdr:rowOff>0</xdr:rowOff>
    </xdr:from>
    <xdr:to>
      <xdr:col>12</xdr:col>
      <xdr:colOff>275586</xdr:colOff>
      <xdr:row>82</xdr:row>
      <xdr:rowOff>82213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9">
              <a:extLst>
                <a:ext uri="{FF2B5EF4-FFF2-40B4-BE49-F238E27FC236}">
                  <a16:creationId xmlns:a16="http://schemas.microsoft.com/office/drawing/2014/main" id="{DDD81FED-B7D1-43F0-935D-6E0606A7B4F6}"/>
                </a:ext>
              </a:extLst>
            </xdr:cNvPr>
            <xdr:cNvSpPr txBox="1"/>
          </xdr:nvSpPr>
          <xdr:spPr>
            <a:xfrm>
              <a:off x="10318749" y="16344900"/>
              <a:ext cx="2656837" cy="28541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Nivel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endeudamiento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Pasivo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Activo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14" name="CuadroTexto 9">
              <a:extLst>
                <a:ext uri="{FF2B5EF4-FFF2-40B4-BE49-F238E27FC236}">
                  <a16:creationId xmlns:a16="http://schemas.microsoft.com/office/drawing/2014/main" id="{DDD81FED-B7D1-43F0-935D-6E0606A7B4F6}"/>
                </a:ext>
              </a:extLst>
            </xdr:cNvPr>
            <xdr:cNvSpPr txBox="1"/>
          </xdr:nvSpPr>
          <xdr:spPr>
            <a:xfrm>
              <a:off x="10318749" y="16344900"/>
              <a:ext cx="2656837" cy="28541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"Nivel de endeudamiento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"Pasivo Total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Activo Total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8</xdr:col>
      <xdr:colOff>133349</xdr:colOff>
      <xdr:row>84</xdr:row>
      <xdr:rowOff>80108</xdr:rowOff>
    </xdr:from>
    <xdr:to>
      <xdr:col>12</xdr:col>
      <xdr:colOff>275586</xdr:colOff>
      <xdr:row>85</xdr:row>
      <xdr:rowOff>168671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5">
              <a:extLst>
                <a:ext uri="{FF2B5EF4-FFF2-40B4-BE49-F238E27FC236}">
                  <a16:creationId xmlns:a16="http://schemas.microsoft.com/office/drawing/2014/main" id="{F0AC4E23-6DA0-40C1-AD89-7D62200E5A6F}"/>
                </a:ext>
              </a:extLst>
            </xdr:cNvPr>
            <xdr:cNvSpPr txBox="1"/>
          </xdr:nvSpPr>
          <xdr:spPr>
            <a:xfrm>
              <a:off x="10318749" y="17034608"/>
              <a:ext cx="2656837" cy="29176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Nivel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endeudamiento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Deuda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Activo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15" name="CuadroTexto 15">
              <a:extLst>
                <a:ext uri="{FF2B5EF4-FFF2-40B4-BE49-F238E27FC236}">
                  <a16:creationId xmlns:a16="http://schemas.microsoft.com/office/drawing/2014/main" id="{F0AC4E23-6DA0-40C1-AD89-7D62200E5A6F}"/>
                </a:ext>
              </a:extLst>
            </xdr:cNvPr>
            <xdr:cNvSpPr txBox="1"/>
          </xdr:nvSpPr>
          <xdr:spPr>
            <a:xfrm>
              <a:off x="10318749" y="17034608"/>
              <a:ext cx="2656837" cy="29176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"Nivel de endeudamiento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"Total Deuda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Activo Total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8</xdr:col>
      <xdr:colOff>66675</xdr:colOff>
      <xdr:row>82</xdr:row>
      <xdr:rowOff>197338</xdr:rowOff>
    </xdr:from>
    <xdr:to>
      <xdr:col>14</xdr:col>
      <xdr:colOff>971956</xdr:colOff>
      <xdr:row>83</xdr:row>
      <xdr:rowOff>144562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">
              <a:extLst>
                <a:ext uri="{FF2B5EF4-FFF2-40B4-BE49-F238E27FC236}">
                  <a16:creationId xmlns:a16="http://schemas.microsoft.com/office/drawing/2014/main" id="{B9D18E01-FC11-4CC5-970E-D4EE5772E62E}"/>
                </a:ext>
              </a:extLst>
            </xdr:cNvPr>
            <xdr:cNvSpPr txBox="1"/>
          </xdr:nvSpPr>
          <xdr:spPr>
            <a:xfrm>
              <a:off x="10252075" y="16745438"/>
              <a:ext cx="4785131" cy="150424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Total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Deuda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pasivos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con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terceros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obligaciones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que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devengan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intereses</m:t>
                    </m:r>
                  </m:oMath>
                </m:oMathPara>
              </a14:m>
              <a:endParaRPr lang="es-MX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16" name="CuadroTexto 1">
              <a:extLst>
                <a:ext uri="{FF2B5EF4-FFF2-40B4-BE49-F238E27FC236}">
                  <a16:creationId xmlns:a16="http://schemas.microsoft.com/office/drawing/2014/main" id="{B9D18E01-FC11-4CC5-970E-D4EE5772E62E}"/>
                </a:ext>
              </a:extLst>
            </xdr:cNvPr>
            <xdr:cNvSpPr txBox="1"/>
          </xdr:nvSpPr>
          <xdr:spPr>
            <a:xfrm>
              <a:off x="10252075" y="16745438"/>
              <a:ext cx="4785131" cy="150424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"Total Deuda = pasivos con terceros = obligaciones que devengan intereses</a:t>
              </a:r>
              <a:r>
                <a:rPr lang="es-CO" sz="100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"</a:t>
              </a:r>
              <a:endParaRPr lang="es-MX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8</xdr:col>
      <xdr:colOff>129686</xdr:colOff>
      <xdr:row>89</xdr:row>
      <xdr:rowOff>85725</xdr:rowOff>
    </xdr:from>
    <xdr:to>
      <xdr:col>13</xdr:col>
      <xdr:colOff>96684</xdr:colOff>
      <xdr:row>90</xdr:row>
      <xdr:rowOff>167938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CuadroTexto 9">
              <a:extLst>
                <a:ext uri="{FF2B5EF4-FFF2-40B4-BE49-F238E27FC236}">
                  <a16:creationId xmlns:a16="http://schemas.microsoft.com/office/drawing/2014/main" id="{D7BB5D0D-BA4F-4EA1-8EDC-615A8C676633}"/>
                </a:ext>
              </a:extLst>
            </xdr:cNvPr>
            <xdr:cNvSpPr txBox="1"/>
          </xdr:nvSpPr>
          <xdr:spPr>
            <a:xfrm>
              <a:off x="10315086" y="18037175"/>
              <a:ext cx="3110248" cy="28541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Apalancamiento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financiero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Deuda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Patrimonio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17" name="CuadroTexto 9">
              <a:extLst>
                <a:ext uri="{FF2B5EF4-FFF2-40B4-BE49-F238E27FC236}">
                  <a16:creationId xmlns:a16="http://schemas.microsoft.com/office/drawing/2014/main" id="{D7BB5D0D-BA4F-4EA1-8EDC-615A8C676633}"/>
                </a:ext>
              </a:extLst>
            </xdr:cNvPr>
            <xdr:cNvSpPr txBox="1"/>
          </xdr:nvSpPr>
          <xdr:spPr>
            <a:xfrm>
              <a:off x="10315086" y="18037175"/>
              <a:ext cx="3110248" cy="28541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"Apalancamiento financiero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"Prom. Total Deuda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Prom. Patrimonio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8</xdr:col>
      <xdr:colOff>171449</xdr:colOff>
      <xdr:row>91</xdr:row>
      <xdr:rowOff>138723</xdr:rowOff>
    </xdr:from>
    <xdr:to>
      <xdr:col>12</xdr:col>
      <xdr:colOff>8278</xdr:colOff>
      <xdr:row>93</xdr:row>
      <xdr:rowOff>95862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0CCFB058-2537-478E-B9B4-23424A1E121C}"/>
                </a:ext>
              </a:extLst>
            </xdr:cNvPr>
            <xdr:cNvSpPr txBox="1"/>
          </xdr:nvSpPr>
          <xdr:spPr>
            <a:xfrm>
              <a:off x="10356849" y="18496573"/>
              <a:ext cx="2351429" cy="34448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Cobertura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intereses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EBIT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Intereses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0CCFB058-2537-478E-B9B4-23424A1E121C}"/>
                </a:ext>
              </a:extLst>
            </xdr:cNvPr>
            <xdr:cNvSpPr txBox="1"/>
          </xdr:nvSpPr>
          <xdr:spPr>
            <a:xfrm>
              <a:off x="10356849" y="18496573"/>
              <a:ext cx="2351429" cy="34448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"Cobertura de intereses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"EBIT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Intereses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8</xdr:col>
      <xdr:colOff>238125</xdr:colOff>
      <xdr:row>98</xdr:row>
      <xdr:rowOff>57150</xdr:rowOff>
    </xdr:from>
    <xdr:to>
      <xdr:col>12</xdr:col>
      <xdr:colOff>431429</xdr:colOff>
      <xdr:row>100</xdr:row>
      <xdr:rowOff>27182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CuadroTexto 9">
              <a:extLst>
                <a:ext uri="{FF2B5EF4-FFF2-40B4-BE49-F238E27FC236}">
                  <a16:creationId xmlns:a16="http://schemas.microsoft.com/office/drawing/2014/main" id="{36388FB5-9172-419E-9C21-7B31E4E75773}"/>
                </a:ext>
              </a:extLst>
            </xdr:cNvPr>
            <xdr:cNvSpPr txBox="1"/>
          </xdr:nvSpPr>
          <xdr:spPr>
            <a:xfrm>
              <a:off x="10423525" y="19723100"/>
              <a:ext cx="2707904" cy="338332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Impacto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la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carga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finaniciera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Intereses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Ventas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19" name="CuadroTexto 9">
              <a:extLst>
                <a:ext uri="{FF2B5EF4-FFF2-40B4-BE49-F238E27FC236}">
                  <a16:creationId xmlns:a16="http://schemas.microsoft.com/office/drawing/2014/main" id="{36388FB5-9172-419E-9C21-7B31E4E75773}"/>
                </a:ext>
              </a:extLst>
            </xdr:cNvPr>
            <xdr:cNvSpPr txBox="1"/>
          </xdr:nvSpPr>
          <xdr:spPr>
            <a:xfrm>
              <a:off x="10423525" y="19723100"/>
              <a:ext cx="2707904" cy="338332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"Impacto de la carga finaniciera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"Intereses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Ventas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8</xdr:col>
      <xdr:colOff>238125</xdr:colOff>
      <xdr:row>86</xdr:row>
      <xdr:rowOff>145318</xdr:rowOff>
    </xdr:from>
    <xdr:to>
      <xdr:col>12</xdr:col>
      <xdr:colOff>564141</xdr:colOff>
      <xdr:row>88</xdr:row>
      <xdr:rowOff>33612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CuadroTexto 9">
              <a:extLst>
                <a:ext uri="{FF2B5EF4-FFF2-40B4-BE49-F238E27FC236}">
                  <a16:creationId xmlns:a16="http://schemas.microsoft.com/office/drawing/2014/main" id="{D1361515-0565-4068-B512-32953BDFF7AA}"/>
                </a:ext>
              </a:extLst>
            </xdr:cNvPr>
            <xdr:cNvSpPr txBox="1"/>
          </xdr:nvSpPr>
          <xdr:spPr>
            <a:xfrm>
              <a:off x="10423525" y="17506218"/>
              <a:ext cx="2840616" cy="294694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Apalancamiento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financiero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 kern="1200">
                            <a:solidFill>
                              <a:schemeClr val="tx1"/>
                            </a:solidFill>
                            <a:effectLst/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</m:t>
                        </m:r>
                        <m:r>
                          <m:rPr>
                            <m:nor/>
                          </m:rPr>
                          <a:rPr lang="es-MX" sz="1000" b="0" i="0" kern="1200">
                            <a:solidFill>
                              <a:schemeClr val="tx1"/>
                            </a:solidFill>
                            <a:effectLst/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MX" sz="1000" b="0" i="0" kern="1200">
                            <a:solidFill>
                              <a:schemeClr val="tx1"/>
                            </a:solidFill>
                            <a:effectLst/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Pasivo</m:t>
                        </m:r>
                        <m:r>
                          <m:rPr>
                            <m:nor/>
                          </m:rPr>
                          <a:rPr lang="es-MX" sz="1000" b="0" i="0" kern="1200">
                            <a:solidFill>
                              <a:schemeClr val="tx1"/>
                            </a:solidFill>
                            <a:effectLst/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 kern="1200">
                            <a:solidFill>
                              <a:schemeClr val="tx1"/>
                            </a:solidFill>
                            <a:effectLst/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Patrimonio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20" name="CuadroTexto 9">
              <a:extLst>
                <a:ext uri="{FF2B5EF4-FFF2-40B4-BE49-F238E27FC236}">
                  <a16:creationId xmlns:a16="http://schemas.microsoft.com/office/drawing/2014/main" id="{D1361515-0565-4068-B512-32953BDFF7AA}"/>
                </a:ext>
              </a:extLst>
            </xdr:cNvPr>
            <xdr:cNvSpPr txBox="1"/>
          </xdr:nvSpPr>
          <xdr:spPr>
            <a:xfrm>
              <a:off x="10423525" y="17506218"/>
              <a:ext cx="2840616" cy="294694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"Apalancamiento financiero = " </a:t>
              </a:r>
              <a:r>
                <a:rPr lang="es-MX" sz="1000" b="0" i="0" kern="1200">
                  <a:solidFill>
                    <a:schemeClr val="tx1"/>
                  </a:solidFill>
                  <a:effectLst/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"Prom. Pasivo Total</a:t>
              </a:r>
              <a:r>
                <a:rPr lang="es-MX" sz="10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Prom. Patrimonio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8</xdr:col>
      <xdr:colOff>171449</xdr:colOff>
      <xdr:row>94</xdr:row>
      <xdr:rowOff>94517</xdr:rowOff>
    </xdr:from>
    <xdr:to>
      <xdr:col>12</xdr:col>
      <xdr:colOff>8278</xdr:colOff>
      <xdr:row>96</xdr:row>
      <xdr:rowOff>23326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CuadroTexto 9">
              <a:extLst>
                <a:ext uri="{FF2B5EF4-FFF2-40B4-BE49-F238E27FC236}">
                  <a16:creationId xmlns:a16="http://schemas.microsoft.com/office/drawing/2014/main" id="{CD36686E-6902-4237-84D4-66FF5B7A8DB4}"/>
                </a:ext>
              </a:extLst>
            </xdr:cNvPr>
            <xdr:cNvSpPr txBox="1"/>
          </xdr:nvSpPr>
          <xdr:spPr>
            <a:xfrm>
              <a:off x="10356849" y="19023867"/>
              <a:ext cx="2351429" cy="29710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Cobertura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intereses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EBITDA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Intereses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21" name="CuadroTexto 9">
              <a:extLst>
                <a:ext uri="{FF2B5EF4-FFF2-40B4-BE49-F238E27FC236}">
                  <a16:creationId xmlns:a16="http://schemas.microsoft.com/office/drawing/2014/main" id="{CD36686E-6902-4237-84D4-66FF5B7A8DB4}"/>
                </a:ext>
              </a:extLst>
            </xdr:cNvPr>
            <xdr:cNvSpPr txBox="1"/>
          </xdr:nvSpPr>
          <xdr:spPr>
            <a:xfrm>
              <a:off x="10356849" y="19023867"/>
              <a:ext cx="2351429" cy="29710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"Cobertura de intereses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"EBITDA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Intereses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8</xdr:col>
      <xdr:colOff>0</xdr:colOff>
      <xdr:row>103</xdr:row>
      <xdr:rowOff>89388</xdr:rowOff>
    </xdr:from>
    <xdr:to>
      <xdr:col>11</xdr:col>
      <xdr:colOff>447674</xdr:colOff>
      <xdr:row>105</xdr:row>
      <xdr:rowOff>117884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CuadroTexto 24">
              <a:extLst>
                <a:ext uri="{FF2B5EF4-FFF2-40B4-BE49-F238E27FC236}">
                  <a16:creationId xmlns:a16="http://schemas.microsoft.com/office/drawing/2014/main" id="{2F2CF4CF-D707-4FDF-9EC2-E0B37F5697C1}"/>
                </a:ext>
              </a:extLst>
            </xdr:cNvPr>
            <xdr:cNvSpPr txBox="1"/>
          </xdr:nvSpPr>
          <xdr:spPr>
            <a:xfrm>
              <a:off x="10185400" y="20676088"/>
              <a:ext cx="2333624" cy="396796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ROA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CO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Utilidad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Neta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Activos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Totales</m:t>
                        </m:r>
                      </m:den>
                    </m:f>
                  </m:oMath>
                </m:oMathPara>
              </a14:m>
              <a:endParaRPr lang="es-CO" sz="1000"/>
            </a:p>
          </xdr:txBody>
        </xdr:sp>
      </mc:Choice>
      <mc:Fallback xmlns="">
        <xdr:sp macro="" textlink="">
          <xdr:nvSpPr>
            <xdr:cNvPr id="22" name="CuadroTexto 24">
              <a:extLst>
                <a:ext uri="{FF2B5EF4-FFF2-40B4-BE49-F238E27FC236}">
                  <a16:creationId xmlns:a16="http://schemas.microsoft.com/office/drawing/2014/main" id="{2F2CF4CF-D707-4FDF-9EC2-E0B37F5697C1}"/>
                </a:ext>
              </a:extLst>
            </xdr:cNvPr>
            <xdr:cNvSpPr txBox="1"/>
          </xdr:nvSpPr>
          <xdr:spPr>
            <a:xfrm>
              <a:off x="10185400" y="20676088"/>
              <a:ext cx="2333624" cy="396796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"ROA = </a:t>
              </a:r>
              <a:r>
                <a:rPr lang="es-CO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"Utilidad Neta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r>
                <a:rPr lang="es-CO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/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Prom. Activos Totales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/>
            </a:p>
          </xdr:txBody>
        </xdr:sp>
      </mc:Fallback>
    </mc:AlternateContent>
    <xdr:clientData/>
  </xdr:twoCellAnchor>
  <xdr:twoCellAnchor>
    <xdr:from>
      <xdr:col>8</xdr:col>
      <xdr:colOff>266698</xdr:colOff>
      <xdr:row>100</xdr:row>
      <xdr:rowOff>161925</xdr:rowOff>
    </xdr:from>
    <xdr:to>
      <xdr:col>12</xdr:col>
      <xdr:colOff>342899</xdr:colOff>
      <xdr:row>103</xdr:row>
      <xdr:rowOff>2039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CuadroTexto 26">
              <a:extLst>
                <a:ext uri="{FF2B5EF4-FFF2-40B4-BE49-F238E27FC236}">
                  <a16:creationId xmlns:a16="http://schemas.microsoft.com/office/drawing/2014/main" id="{6B6A49D0-F2AB-4E62-9878-A896DADDF9BE}"/>
                </a:ext>
              </a:extLst>
            </xdr:cNvPr>
            <xdr:cNvSpPr txBox="1"/>
          </xdr:nvSpPr>
          <xdr:spPr>
            <a:xfrm>
              <a:off x="10452098" y="20196175"/>
              <a:ext cx="2590801" cy="392564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ROA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Operacional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CO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EBIT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Activos</m:t>
                        </m:r>
                        <m:r>
                          <m:rPr>
                            <m:nor/>
                          </m:rPr>
                          <a:rPr lang="es-MX" sz="100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Totales</m:t>
                        </m:r>
                      </m:den>
                    </m:f>
                  </m:oMath>
                </m:oMathPara>
              </a14:m>
              <a:endParaRPr lang="es-CO" sz="1000"/>
            </a:p>
          </xdr:txBody>
        </xdr:sp>
      </mc:Choice>
      <mc:Fallback xmlns="">
        <xdr:sp macro="" textlink="">
          <xdr:nvSpPr>
            <xdr:cNvPr id="23" name="CuadroTexto 26">
              <a:extLst>
                <a:ext uri="{FF2B5EF4-FFF2-40B4-BE49-F238E27FC236}">
                  <a16:creationId xmlns:a16="http://schemas.microsoft.com/office/drawing/2014/main" id="{6B6A49D0-F2AB-4E62-9878-A896DADDF9BE}"/>
                </a:ext>
              </a:extLst>
            </xdr:cNvPr>
            <xdr:cNvSpPr txBox="1"/>
          </xdr:nvSpPr>
          <xdr:spPr>
            <a:xfrm>
              <a:off x="10452098" y="20196175"/>
              <a:ext cx="2590801" cy="392564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"ROA Operacional = </a:t>
              </a:r>
              <a:r>
                <a:rPr lang="es-CO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r>
                <a:rPr lang="es-MX" sz="100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"EBIT</a:t>
              </a:r>
              <a:r>
                <a:rPr lang="es-MX" sz="100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r>
                <a:rPr lang="es-CO" sz="100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/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Prom. Activos</a:t>
              </a:r>
              <a:r>
                <a:rPr lang="es-MX" sz="100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Totales</a:t>
              </a:r>
              <a:r>
                <a:rPr lang="es-MX" sz="100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/>
            </a:p>
          </xdr:txBody>
        </xdr:sp>
      </mc:Fallback>
    </mc:AlternateContent>
    <xdr:clientData/>
  </xdr:twoCellAnchor>
  <xdr:twoCellAnchor>
    <xdr:from>
      <xdr:col>8</xdr:col>
      <xdr:colOff>161925</xdr:colOff>
      <xdr:row>106</xdr:row>
      <xdr:rowOff>85726</xdr:rowOff>
    </xdr:from>
    <xdr:to>
      <xdr:col>10</xdr:col>
      <xdr:colOff>571500</xdr:colOff>
      <xdr:row>109</xdr:row>
      <xdr:rowOff>104776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CuadroTexto 25">
              <a:extLst>
                <a:ext uri="{FF2B5EF4-FFF2-40B4-BE49-F238E27FC236}">
                  <a16:creationId xmlns:a16="http://schemas.microsoft.com/office/drawing/2014/main" id="{B6F65B65-36DE-458E-A26E-1B681FAB1942}"/>
                </a:ext>
              </a:extLst>
            </xdr:cNvPr>
            <xdr:cNvSpPr txBox="1"/>
          </xdr:nvSpPr>
          <xdr:spPr>
            <a:xfrm>
              <a:off x="10347325" y="21224876"/>
              <a:ext cx="1666875" cy="571500"/>
            </a:xfrm>
            <a:prstGeom prst="rect">
              <a:avLst/>
            </a:prstGeom>
            <a:noFill/>
          </xdr:spPr>
          <xdr:txBody>
            <a:bodyPr wrap="square"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</m:t>
                    </m:r>
                    <m:f>
                      <m:fPr>
                        <m:ctrlPr>
                          <a:rPr lang="es-CO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Utilidad</m:t>
                        </m:r>
                        <m:r>
                          <m:rPr>
                            <m:nor/>
                          </m:rPr>
                          <a:rPr lang="es-MX" sz="100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Neta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rom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Patrimonio</m:t>
                        </m:r>
                      </m:den>
                    </m:f>
                  </m:oMath>
                </m:oMathPara>
              </a14:m>
              <a:endParaRPr lang="es-CO" sz="1000"/>
            </a:p>
          </xdr:txBody>
        </xdr:sp>
      </mc:Choice>
      <mc:Fallback xmlns="">
        <xdr:sp macro="" textlink="">
          <xdr:nvSpPr>
            <xdr:cNvPr id="24" name="CuadroTexto 25">
              <a:extLst>
                <a:ext uri="{FF2B5EF4-FFF2-40B4-BE49-F238E27FC236}">
                  <a16:creationId xmlns:a16="http://schemas.microsoft.com/office/drawing/2014/main" id="{B6F65B65-36DE-458E-A26E-1B681FAB1942}"/>
                </a:ext>
              </a:extLst>
            </xdr:cNvPr>
            <xdr:cNvSpPr txBox="1"/>
          </xdr:nvSpPr>
          <xdr:spPr>
            <a:xfrm>
              <a:off x="10347325" y="21224876"/>
              <a:ext cx="1666875" cy="571500"/>
            </a:xfrm>
            <a:prstGeom prst="rect">
              <a:avLst/>
            </a:prstGeom>
            <a:noFill/>
          </xdr:spPr>
          <xdr:txBody>
            <a:bodyPr wrap="square"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"ROE =</a:t>
              </a:r>
              <a:r>
                <a:rPr lang="es-CO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r>
                <a:rPr lang="es-MX" sz="100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"Utilidad Neta</a:t>
              </a:r>
              <a:r>
                <a:rPr lang="es-MX" sz="100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r>
                <a:rPr lang="es-CO" sz="100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/</a:t>
              </a:r>
              <a:r>
                <a:rPr lang="es-MX" sz="100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</a:t>
              </a:r>
              <a:r>
                <a:rPr lang="es-MX" sz="100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rom. Patrimonio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/>
            </a:p>
          </xdr:txBody>
        </xdr:sp>
      </mc:Fallback>
    </mc:AlternateContent>
    <xdr:clientData/>
  </xdr:twoCellAnchor>
  <xdr:twoCellAnchor>
    <xdr:from>
      <xdr:col>8</xdr:col>
      <xdr:colOff>285750</xdr:colOff>
      <xdr:row>109</xdr:row>
      <xdr:rowOff>171450</xdr:rowOff>
    </xdr:from>
    <xdr:to>
      <xdr:col>15</xdr:col>
      <xdr:colOff>406400</xdr:colOff>
      <xdr:row>111</xdr:row>
      <xdr:rowOff>88563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CuadroTexto 19">
              <a:extLst>
                <a:ext uri="{FF2B5EF4-FFF2-40B4-BE49-F238E27FC236}">
                  <a16:creationId xmlns:a16="http://schemas.microsoft.com/office/drawing/2014/main" id="{25EC96DF-899A-4951-939E-967F6879C862}"/>
                </a:ext>
              </a:extLst>
            </xdr:cNvPr>
            <xdr:cNvSpPr txBox="1"/>
          </xdr:nvSpPr>
          <xdr:spPr>
            <a:xfrm>
              <a:off x="10471150" y="21863050"/>
              <a:ext cx="5162550" cy="28541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solidFill>
                              <a:srgbClr val="14085C"/>
                            </a:solidFill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Utilidad</m:t>
                        </m:r>
                        <m:r>
                          <m:rPr>
                            <m:nor/>
                          </m:rPr>
                          <a:rPr lang="es-MX" sz="1000" b="0" i="0">
                            <a:solidFill>
                              <a:srgbClr val="14085C"/>
                            </a:solidFill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solidFill>
                              <a:srgbClr val="14085C"/>
                            </a:solidFill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Neta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Ventas</m:t>
                        </m:r>
                      </m:den>
                    </m:f>
                    <m:r>
                      <m:rPr>
                        <m:nor/>
                      </m:rPr>
                      <a:rPr lang="es-MX" sz="10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×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Ventas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Activos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Totales</m:t>
                        </m:r>
                      </m:den>
                    </m:f>
                    <m:r>
                      <m:rPr>
                        <m:nor/>
                      </m:rPr>
                      <a:rPr lang="es-MX" sz="10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×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Activos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Totales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solidFill>
                              <a:srgbClr val="14085C"/>
                            </a:solidFill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</m:t>
                        </m:r>
                        <m:r>
                          <m:rPr>
                            <m:nor/>
                          </m:rPr>
                          <a:rPr lang="es-MX" sz="1000" b="0" i="0">
                            <a:solidFill>
                              <a:srgbClr val="14085C"/>
                            </a:solidFill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MX" sz="1000" b="0" i="0">
                            <a:solidFill>
                              <a:srgbClr val="14085C"/>
                            </a:solidFill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Patrimonio</m:t>
                        </m:r>
                      </m:den>
                    </m:f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=</m:t>
                    </m:r>
                    <m:f>
                      <m:fPr>
                        <m:ctrlPr>
                          <a:rPr lang="es-MX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Utilidad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Neta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Patrimonio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25" name="CuadroTexto 19">
              <a:extLst>
                <a:ext uri="{FF2B5EF4-FFF2-40B4-BE49-F238E27FC236}">
                  <a16:creationId xmlns:a16="http://schemas.microsoft.com/office/drawing/2014/main" id="{25EC96DF-899A-4951-939E-967F6879C862}"/>
                </a:ext>
              </a:extLst>
            </xdr:cNvPr>
            <xdr:cNvSpPr txBox="1"/>
          </xdr:nvSpPr>
          <xdr:spPr>
            <a:xfrm>
              <a:off x="10471150" y="21863050"/>
              <a:ext cx="5162550" cy="28541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"ROE = " </a:t>
              </a:r>
              <a:r>
                <a:rPr lang="es-MX" sz="1000" b="0" i="0">
                  <a:solidFill>
                    <a:srgbClr val="14085C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"Utilidad Neta</a:t>
              </a:r>
              <a:r>
                <a:rPr lang="es-MX" sz="1000" b="0" i="0">
                  <a:solidFill>
                    <a:srgbClr val="14085C"/>
                  </a:solidFill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Ventas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 "</a:t>
              </a:r>
              <a:r>
                <a:rPr lang="es-MX" sz="1000" b="0" i="0">
                  <a:latin typeface="Cambria Math" panose="02040503050406030204" pitchFamily="18" charset="0"/>
                </a:rPr>
                <a:t> 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× </a:t>
              </a:r>
              <a:r>
                <a:rPr lang="es-MX" sz="1000" b="0" i="0">
                  <a:latin typeface="Cambria Math" panose="02040503050406030204" pitchFamily="18" charset="0"/>
                  <a:ea typeface="Cambria Math" panose="02040503050406030204" pitchFamily="18" charset="0"/>
                  <a:cs typeface="Tahoma" panose="020B0604030504040204" pitchFamily="34" charset="0"/>
                </a:rPr>
                <a:t>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"Ventas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r>
                <a:rPr lang="es-MX" sz="1000" b="0" i="0">
                  <a:latin typeface="Cambria Math" panose="02040503050406030204" pitchFamily="18" charset="0"/>
                  <a:ea typeface="Cambria Math" panose="02040503050406030204" pitchFamily="18" charset="0"/>
                  <a:cs typeface="Tahoma" panose="020B0604030504040204" pitchFamily="34" charset="0"/>
                </a:rPr>
                <a:t>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Prom. Activos Totales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r>
                <a:rPr lang="es-MX" sz="1000" b="0" i="0">
                  <a:latin typeface="Cambria Math" panose="02040503050406030204" pitchFamily="18" charset="0"/>
                  <a:ea typeface="Cambria Math" panose="02040503050406030204" pitchFamily="18" charset="0"/>
                  <a:cs typeface="Tahoma" panose="020B0604030504040204" pitchFamily="34" charset="0"/>
                </a:rPr>
                <a:t> "</a:t>
              </a:r>
              <a:r>
                <a:rPr lang="es-MX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×</a:t>
              </a:r>
              <a:r>
                <a:rPr lang="es-MX" sz="1000" b="0" i="0">
                  <a:latin typeface="Cambria Math" panose="02040503050406030204" pitchFamily="18" charset="0"/>
                  <a:ea typeface="Cambria Math" panose="02040503050406030204" pitchFamily="18" charset="0"/>
                  <a:cs typeface="Tahoma" panose="020B0604030504040204" pitchFamily="34" charset="0"/>
                </a:rPr>
                <a:t>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"Prom. Activos Totales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r>
                <a:rPr lang="es-MX" sz="1000" b="0" i="0">
                  <a:latin typeface="Cambria Math" panose="02040503050406030204" pitchFamily="18" charset="0"/>
                  <a:ea typeface="Cambria Math" panose="02040503050406030204" pitchFamily="18" charset="0"/>
                  <a:cs typeface="Tahoma" panose="020B0604030504040204" pitchFamily="34" charset="0"/>
                </a:rPr>
                <a:t>/</a:t>
              </a:r>
              <a:r>
                <a:rPr lang="es-MX" sz="1000" b="0" i="0">
                  <a:solidFill>
                    <a:srgbClr val="14085C"/>
                  </a:solidFill>
                  <a:latin typeface="Cambria Math" panose="02040503050406030204" pitchFamily="18" charset="0"/>
                  <a:ea typeface="Cambria Math" panose="02040503050406030204" pitchFamily="18" charset="0"/>
                  <a:cs typeface="Tahoma" panose="020B0604030504040204" pitchFamily="34" charset="0"/>
                </a:rPr>
                <a:t>"</a:t>
              </a:r>
              <a:r>
                <a:rPr lang="es-MX" sz="1000" b="0" i="0">
                  <a:solidFill>
                    <a:srgbClr val="14085C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Prom. Patrimonio</a:t>
              </a:r>
              <a:r>
                <a:rPr lang="es-MX" sz="1000" b="0" i="0">
                  <a:solidFill>
                    <a:srgbClr val="14085C"/>
                  </a:solidFill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 "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=" </a:t>
              </a:r>
              <a:r>
                <a:rPr lang="es-MX" sz="100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"Utilidad Neta</a:t>
              </a:r>
              <a:r>
                <a:rPr lang="es-MX" sz="100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Prom. Patrimonio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4DB76-8C6F-4A7E-9B55-0CDAE9CFCFAB}">
  <dimension ref="A1:Y101"/>
  <sheetViews>
    <sheetView zoomScaleNormal="100" workbookViewId="0"/>
  </sheetViews>
  <sheetFormatPr baseColWidth="10" defaultRowHeight="14.5" x14ac:dyDescent="0.35"/>
  <cols>
    <col min="1" max="1" width="34.90625" customWidth="1"/>
    <col min="2" max="7" width="16.6328125" bestFit="1" customWidth="1"/>
    <col min="8" max="8" width="11.08984375" customWidth="1"/>
    <col min="9" max="13" width="9" customWidth="1"/>
    <col min="14" max="14" width="10.54296875" bestFit="1" customWidth="1"/>
    <col min="15" max="16" width="16.6328125" customWidth="1"/>
    <col min="18" max="18" width="26.08984375" bestFit="1" customWidth="1"/>
    <col min="19" max="20" width="15.36328125" bestFit="1" customWidth="1"/>
    <col min="21" max="22" width="21.26953125" bestFit="1" customWidth="1"/>
    <col min="23" max="24" width="15.36328125" bestFit="1" customWidth="1"/>
  </cols>
  <sheetData>
    <row r="1" spans="1:25" ht="16" x14ac:dyDescent="0.35">
      <c r="A1" s="2" t="s">
        <v>0</v>
      </c>
      <c r="C1" s="1" t="s">
        <v>49</v>
      </c>
      <c r="D1" s="1">
        <v>860076919</v>
      </c>
    </row>
    <row r="2" spans="1:25" ht="16" x14ac:dyDescent="0.35">
      <c r="A2" s="2" t="s">
        <v>1</v>
      </c>
    </row>
    <row r="3" spans="1:25" ht="16" x14ac:dyDescent="0.35">
      <c r="A3" s="2" t="s">
        <v>2</v>
      </c>
    </row>
    <row r="4" spans="1:25" ht="16" x14ac:dyDescent="0.35">
      <c r="A4" s="2" t="s">
        <v>3</v>
      </c>
    </row>
    <row r="5" spans="1:25" ht="16" x14ac:dyDescent="0.35">
      <c r="I5" s="41" t="s">
        <v>91</v>
      </c>
      <c r="J5" s="42"/>
      <c r="K5" s="42"/>
      <c r="L5" s="42"/>
      <c r="M5" s="42"/>
    </row>
    <row r="6" spans="1:25" ht="16" x14ac:dyDescent="0.4">
      <c r="A6" s="3"/>
      <c r="B6" s="4">
        <v>2019</v>
      </c>
      <c r="C6" s="4">
        <v>2020</v>
      </c>
      <c r="D6" s="4">
        <v>2021</v>
      </c>
      <c r="E6" s="4">
        <v>2022</v>
      </c>
      <c r="F6" s="4">
        <v>2023</v>
      </c>
      <c r="G6" s="4">
        <v>2024</v>
      </c>
      <c r="H6" s="4" t="s">
        <v>90</v>
      </c>
      <c r="I6" s="4">
        <v>2020</v>
      </c>
      <c r="J6" s="4">
        <v>2021</v>
      </c>
      <c r="K6" s="4">
        <v>2022</v>
      </c>
      <c r="L6" s="4">
        <v>2023</v>
      </c>
      <c r="M6" s="4">
        <v>2024</v>
      </c>
      <c r="N6" s="4" t="s">
        <v>92</v>
      </c>
      <c r="R6" s="11"/>
      <c r="S6" s="4">
        <v>2019</v>
      </c>
      <c r="T6" s="4">
        <v>2020</v>
      </c>
      <c r="U6" s="4">
        <v>2021</v>
      </c>
      <c r="V6" s="4">
        <v>2022</v>
      </c>
      <c r="W6" s="4">
        <v>2023</v>
      </c>
      <c r="X6" s="4">
        <v>2024</v>
      </c>
    </row>
    <row r="7" spans="1:25" ht="16" x14ac:dyDescent="0.35">
      <c r="A7" s="3" t="s">
        <v>18</v>
      </c>
      <c r="B7" s="5">
        <v>27563075</v>
      </c>
      <c r="C7" s="5">
        <v>31389172</v>
      </c>
      <c r="D7" s="5">
        <v>31284601</v>
      </c>
      <c r="E7" s="5">
        <v>55588335</v>
      </c>
      <c r="F7" s="5">
        <v>40585061</v>
      </c>
      <c r="G7" s="5">
        <v>44722595</v>
      </c>
      <c r="H7" s="9">
        <f>+G7/$G$21</f>
        <v>0.14769783154911584</v>
      </c>
      <c r="I7" s="9">
        <f>+C7/B7-1</f>
        <v>0.1388124147976959</v>
      </c>
      <c r="J7" s="9">
        <f t="shared" ref="J7:M7" si="0">+D7/C7-1</f>
        <v>-3.3314354389468726E-3</v>
      </c>
      <c r="K7" s="9">
        <f t="shared" si="0"/>
        <v>0.77685932449641926</v>
      </c>
      <c r="L7" s="9">
        <f t="shared" si="0"/>
        <v>-0.26989968308998646</v>
      </c>
      <c r="M7" s="9">
        <f t="shared" si="0"/>
        <v>0.10194721648933824</v>
      </c>
      <c r="N7" s="9">
        <f>+AVERAGE(I7:M7)</f>
        <v>0.14887756745090402</v>
      </c>
      <c r="R7" s="3" t="s">
        <v>67</v>
      </c>
      <c r="T7" s="5">
        <f>+AVERAGE(B21:C21)</f>
        <v>209838746.5</v>
      </c>
      <c r="U7" s="5">
        <f>+AVERAGE(C21:D21)</f>
        <v>217290095</v>
      </c>
      <c r="V7" s="5">
        <f>+AVERAGE(D21:E21)</f>
        <v>247987381</v>
      </c>
      <c r="W7" s="5">
        <f>+AVERAGE(E21:F21)</f>
        <v>277998893</v>
      </c>
      <c r="X7" s="5">
        <f>+AVERAGE(F21:G21)</f>
        <v>291475883</v>
      </c>
    </row>
    <row r="8" spans="1:25" ht="16" x14ac:dyDescent="0.35">
      <c r="A8" s="3" t="s">
        <v>19</v>
      </c>
      <c r="B8" s="5">
        <v>1381838</v>
      </c>
      <c r="C8" s="5">
        <v>3982233</v>
      </c>
      <c r="D8" s="5">
        <v>2084461</v>
      </c>
      <c r="E8" s="5">
        <v>3137462</v>
      </c>
      <c r="F8" s="5">
        <v>4380046</v>
      </c>
      <c r="G8" s="5">
        <v>5513442</v>
      </c>
      <c r="H8" s="9">
        <f t="shared" ref="H8:H37" si="1">+G8/$G$21</f>
        <v>1.8208322387639187E-2</v>
      </c>
      <c r="I8" s="9">
        <f t="shared" ref="I8:I37" si="2">+C8/B8-1</f>
        <v>1.8818378131155749</v>
      </c>
      <c r="J8" s="9">
        <f t="shared" ref="J8:J37" si="3">+D8/C8-1</f>
        <v>-0.47655975931091932</v>
      </c>
      <c r="K8" s="9">
        <f t="shared" ref="K8:K37" si="4">+E8/D8-1</f>
        <v>0.50516704318286587</v>
      </c>
      <c r="L8" s="9">
        <f t="shared" ref="L8:L37" si="5">+F8/E8-1</f>
        <v>0.39604750591401583</v>
      </c>
      <c r="M8" s="9">
        <f t="shared" ref="M8:M37" si="6">+G8/F8-1</f>
        <v>0.25876349243820718</v>
      </c>
      <c r="N8" s="9">
        <f t="shared" ref="N8:N37" si="7">+AVERAGE(I8:M8)</f>
        <v>0.51305121906794882</v>
      </c>
      <c r="R8" s="13" t="s">
        <v>68</v>
      </c>
      <c r="T8" s="14">
        <f>C41/T7</f>
        <v>1.1209432906138714</v>
      </c>
      <c r="U8" s="14">
        <f>D41/U7</f>
        <v>1.8629203047658478</v>
      </c>
      <c r="V8" s="14">
        <f>E41/V7</f>
        <v>2.2424130484284603</v>
      </c>
      <c r="W8" s="14">
        <f>F41/W7</f>
        <v>2.5508911325053369</v>
      </c>
      <c r="X8" s="14">
        <f>G41/X7</f>
        <v>2.6830118051310614</v>
      </c>
      <c r="Y8" s="13" t="s">
        <v>69</v>
      </c>
    </row>
    <row r="9" spans="1:25" ht="16" x14ac:dyDescent="0.4">
      <c r="A9" s="3" t="s">
        <v>20</v>
      </c>
      <c r="B9" s="5">
        <v>11448969</v>
      </c>
      <c r="C9" s="5">
        <v>11115693</v>
      </c>
      <c r="D9" s="5">
        <v>18000664</v>
      </c>
      <c r="E9" s="5">
        <v>27034927</v>
      </c>
      <c r="F9" s="5">
        <v>28213703</v>
      </c>
      <c r="G9" s="5">
        <v>29603192</v>
      </c>
      <c r="H9" s="9">
        <f t="shared" si="1"/>
        <v>9.7765509030326464E-2</v>
      </c>
      <c r="I9" s="9">
        <f t="shared" si="2"/>
        <v>-2.9109695379557765E-2</v>
      </c>
      <c r="J9" s="9">
        <f t="shared" si="3"/>
        <v>0.61939197133278157</v>
      </c>
      <c r="K9" s="9">
        <f t="shared" si="4"/>
        <v>0.50188498602051568</v>
      </c>
      <c r="L9" s="9">
        <f t="shared" si="5"/>
        <v>4.3601967188592772E-2</v>
      </c>
      <c r="M9" s="9">
        <f t="shared" si="6"/>
        <v>4.9248728534499797E-2</v>
      </c>
      <c r="N9" s="9">
        <f t="shared" si="7"/>
        <v>0.2370035915393664</v>
      </c>
      <c r="R9" s="11"/>
      <c r="Y9" s="11"/>
    </row>
    <row r="10" spans="1:25" ht="16" x14ac:dyDescent="0.4">
      <c r="A10" s="3" t="s">
        <v>21</v>
      </c>
      <c r="B10" s="5">
        <v>4446916</v>
      </c>
      <c r="C10" s="5">
        <v>7743729</v>
      </c>
      <c r="D10" s="5">
        <v>3100754</v>
      </c>
      <c r="E10" s="5">
        <v>1089529</v>
      </c>
      <c r="F10" s="5">
        <v>1167724</v>
      </c>
      <c r="G10" s="5">
        <v>2377236</v>
      </c>
      <c r="H10" s="9">
        <f t="shared" si="1"/>
        <v>7.8508995795188979E-3</v>
      </c>
      <c r="I10" s="9"/>
      <c r="J10" s="9"/>
      <c r="K10" s="9"/>
      <c r="L10" s="9"/>
      <c r="M10" s="9"/>
      <c r="N10" s="9"/>
      <c r="R10" s="3" t="s">
        <v>70</v>
      </c>
      <c r="S10" s="5">
        <f t="shared" ref="S10:X10" si="8">+B14+B16</f>
        <v>107514790</v>
      </c>
      <c r="T10" s="5">
        <f t="shared" si="8"/>
        <v>105540393</v>
      </c>
      <c r="U10" s="5">
        <f t="shared" si="8"/>
        <v>109190039</v>
      </c>
      <c r="V10" s="5">
        <f t="shared" si="8"/>
        <v>112734510</v>
      </c>
      <c r="W10" s="5">
        <f t="shared" si="8"/>
        <v>126960930</v>
      </c>
      <c r="X10" s="5">
        <f t="shared" si="8"/>
        <v>133117589</v>
      </c>
      <c r="Y10" s="11"/>
    </row>
    <row r="11" spans="1:25" ht="16" x14ac:dyDescent="0.4">
      <c r="A11" s="3" t="s">
        <v>22</v>
      </c>
      <c r="B11" s="5">
        <v>2135124</v>
      </c>
      <c r="C11" s="5">
        <v>2587843</v>
      </c>
      <c r="D11" s="5"/>
      <c r="E11" s="5"/>
      <c r="F11" s="5"/>
      <c r="G11" s="5">
        <v>0</v>
      </c>
      <c r="H11" s="9">
        <f t="shared" si="1"/>
        <v>0</v>
      </c>
      <c r="I11" s="9"/>
      <c r="J11" s="9"/>
      <c r="K11" s="9"/>
      <c r="L11" s="9"/>
      <c r="M11" s="9"/>
      <c r="N11" s="9"/>
      <c r="R11" s="3" t="s">
        <v>71</v>
      </c>
      <c r="T11" s="5">
        <f>+AVERAGE(S10:T10)</f>
        <v>106527591.5</v>
      </c>
      <c r="U11" s="5">
        <f t="shared" ref="U11:V11" si="9">+AVERAGE(T10:U10)</f>
        <v>107365216</v>
      </c>
      <c r="V11" s="5">
        <f t="shared" si="9"/>
        <v>110962274.5</v>
      </c>
      <c r="W11" s="5">
        <f t="shared" ref="W11" si="10">+AVERAGE(V10:W10)</f>
        <v>119847720</v>
      </c>
      <c r="X11" s="5">
        <f t="shared" ref="X11" si="11">+AVERAGE(W10:X10)</f>
        <v>130039259.5</v>
      </c>
      <c r="Y11" s="11"/>
    </row>
    <row r="12" spans="1:25" ht="16" x14ac:dyDescent="0.35">
      <c r="A12" s="3" t="s">
        <v>23</v>
      </c>
      <c r="B12" s="5"/>
      <c r="C12" s="5"/>
      <c r="D12" s="5">
        <v>2239750</v>
      </c>
      <c r="E12" s="5">
        <v>2565787</v>
      </c>
      <c r="F12" s="5">
        <v>2237733</v>
      </c>
      <c r="G12" s="5">
        <v>3163780</v>
      </c>
      <c r="H12" s="9">
        <f t="shared" si="1"/>
        <v>1.0448486844255386E-2</v>
      </c>
      <c r="I12" s="9"/>
      <c r="J12" s="9"/>
      <c r="K12" s="9"/>
      <c r="L12" s="9"/>
      <c r="M12" s="9"/>
      <c r="N12" s="9"/>
      <c r="R12" s="13" t="s">
        <v>72</v>
      </c>
      <c r="T12" s="14">
        <f>C41/T11</f>
        <v>2.2080414255869099</v>
      </c>
      <c r="U12" s="14">
        <f>D41/U11</f>
        <v>3.7702539526395586</v>
      </c>
      <c r="V12" s="14">
        <f>E41/V11</f>
        <v>5.0115243356876213</v>
      </c>
      <c r="W12" s="14">
        <f>F41/W11</f>
        <v>5.917049661019834</v>
      </c>
      <c r="X12" s="14">
        <f>G41/X11</f>
        <v>6.0138241174773839</v>
      </c>
      <c r="Y12" s="13" t="s">
        <v>69</v>
      </c>
    </row>
    <row r="13" spans="1:25" ht="16" x14ac:dyDescent="0.4">
      <c r="A13" s="2" t="s">
        <v>24</v>
      </c>
      <c r="B13" s="6">
        <f>SUM(B7:B12)</f>
        <v>46975922</v>
      </c>
      <c r="C13" s="6">
        <f t="shared" ref="C13:G13" si="12">SUM(C7:C12)</f>
        <v>56818670</v>
      </c>
      <c r="D13" s="6">
        <f t="shared" si="12"/>
        <v>56710230</v>
      </c>
      <c r="E13" s="6">
        <f t="shared" si="12"/>
        <v>89416040</v>
      </c>
      <c r="F13" s="6">
        <f t="shared" si="12"/>
        <v>76584267</v>
      </c>
      <c r="G13" s="6">
        <f t="shared" si="12"/>
        <v>85380245</v>
      </c>
      <c r="H13" s="18">
        <f t="shared" si="1"/>
        <v>0.28197104939085577</v>
      </c>
      <c r="I13" s="18">
        <f t="shared" si="2"/>
        <v>0.20952751071069975</v>
      </c>
      <c r="J13" s="18">
        <f t="shared" si="3"/>
        <v>-1.9085276019308317E-3</v>
      </c>
      <c r="K13" s="18">
        <f t="shared" si="4"/>
        <v>0.57671799250329259</v>
      </c>
      <c r="L13" s="18">
        <f t="shared" si="5"/>
        <v>-0.14350638878662036</v>
      </c>
      <c r="M13" s="18">
        <f t="shared" si="6"/>
        <v>0.11485358996776718</v>
      </c>
      <c r="N13" s="18">
        <f t="shared" si="7"/>
        <v>0.15113683535864167</v>
      </c>
      <c r="R13" s="11"/>
      <c r="Y13" s="11"/>
    </row>
    <row r="14" spans="1:25" ht="16" x14ac:dyDescent="0.4">
      <c r="A14" s="3" t="s">
        <v>25</v>
      </c>
      <c r="B14" s="5">
        <v>107018825</v>
      </c>
      <c r="C14" s="5">
        <v>104922602</v>
      </c>
      <c r="D14" s="5">
        <v>108652565</v>
      </c>
      <c r="E14" s="5">
        <v>112284062</v>
      </c>
      <c r="F14" s="5">
        <v>126381584</v>
      </c>
      <c r="G14" s="5">
        <v>133025513</v>
      </c>
      <c r="H14" s="9">
        <f t="shared" si="1"/>
        <v>0.43932110403720354</v>
      </c>
      <c r="I14" s="9">
        <f t="shared" si="2"/>
        <v>-1.9587423053841202E-2</v>
      </c>
      <c r="J14" s="9">
        <f t="shared" si="3"/>
        <v>3.5549661644876052E-2</v>
      </c>
      <c r="K14" s="9">
        <f t="shared" si="4"/>
        <v>3.3423021352510185E-2</v>
      </c>
      <c r="L14" s="9">
        <f t="shared" si="5"/>
        <v>0.12555229788534006</v>
      </c>
      <c r="M14" s="9">
        <f t="shared" si="6"/>
        <v>5.2570388736384199E-2</v>
      </c>
      <c r="N14" s="9">
        <f t="shared" si="7"/>
        <v>4.5501589313053856E-2</v>
      </c>
      <c r="R14" s="3" t="s">
        <v>73</v>
      </c>
      <c r="T14" s="5">
        <f>+AVERAGE(B9:C9)</f>
        <v>11282331</v>
      </c>
      <c r="U14" s="5">
        <f>+AVERAGE(C9:D9)</f>
        <v>14558178.5</v>
      </c>
      <c r="V14" s="5">
        <f>+AVERAGE(D9:E9)</f>
        <v>22517795.5</v>
      </c>
      <c r="W14" s="5">
        <f>+AVERAGE(E9:F9)</f>
        <v>27624315</v>
      </c>
      <c r="X14" s="5">
        <f>+AVERAGE(F9:G9)</f>
        <v>28908447.5</v>
      </c>
      <c r="Y14" s="11"/>
    </row>
    <row r="15" spans="1:25" ht="16" x14ac:dyDescent="0.35">
      <c r="A15" s="3" t="s">
        <v>26</v>
      </c>
      <c r="B15" s="5">
        <v>28906329</v>
      </c>
      <c r="C15" s="5">
        <v>28019878</v>
      </c>
      <c r="D15" s="5">
        <v>28217993</v>
      </c>
      <c r="E15" s="5">
        <v>41071700</v>
      </c>
      <c r="F15" s="5">
        <v>43561469</v>
      </c>
      <c r="G15" s="5">
        <v>48296075</v>
      </c>
      <c r="H15" s="9">
        <f t="shared" si="1"/>
        <v>0.1594993660326165</v>
      </c>
      <c r="I15" s="9">
        <f t="shared" si="2"/>
        <v>-3.066632916272416E-2</v>
      </c>
      <c r="J15" s="9">
        <f t="shared" si="3"/>
        <v>7.0705161528541449E-3</v>
      </c>
      <c r="K15" s="9">
        <f t="shared" si="4"/>
        <v>0.4555145718549154</v>
      </c>
      <c r="L15" s="9">
        <f t="shared" si="5"/>
        <v>6.0620061989155483E-2</v>
      </c>
      <c r="M15" s="9">
        <f t="shared" si="6"/>
        <v>0.10868793244782449</v>
      </c>
      <c r="N15" s="9">
        <f t="shared" si="7"/>
        <v>0.12024535065640507</v>
      </c>
      <c r="R15" s="13" t="s">
        <v>74</v>
      </c>
      <c r="T15" s="15">
        <f>C42/T14</f>
        <v>8.9238677716510892</v>
      </c>
      <c r="U15" s="15">
        <f>D42/U14</f>
        <v>11.376462790314049</v>
      </c>
      <c r="V15" s="15">
        <f>E42/V14</f>
        <v>11.257758558114626</v>
      </c>
      <c r="W15" s="15">
        <f>F42/W14</f>
        <v>11.605853502611739</v>
      </c>
      <c r="X15" s="15">
        <f>G42/X14</f>
        <v>11.801466509054144</v>
      </c>
      <c r="Y15" s="13" t="s">
        <v>69</v>
      </c>
    </row>
    <row r="16" spans="1:25" ht="16" x14ac:dyDescent="0.35">
      <c r="A16" s="3" t="s">
        <v>27</v>
      </c>
      <c r="B16" s="5">
        <v>495965</v>
      </c>
      <c r="C16" s="5">
        <v>617791</v>
      </c>
      <c r="D16" s="5">
        <v>537474</v>
      </c>
      <c r="E16" s="5">
        <v>450448</v>
      </c>
      <c r="F16" s="5">
        <v>579346</v>
      </c>
      <c r="G16" s="5">
        <v>92076</v>
      </c>
      <c r="H16" s="9">
        <f t="shared" si="1"/>
        <v>3.0408399909970317E-4</v>
      </c>
      <c r="I16" s="9"/>
      <c r="J16" s="9"/>
      <c r="K16" s="9"/>
      <c r="L16" s="9"/>
      <c r="M16" s="9"/>
      <c r="N16" s="9"/>
      <c r="R16" s="13" t="s">
        <v>75</v>
      </c>
      <c r="T16" s="15">
        <f>365/T15</f>
        <v>40.90154732676725</v>
      </c>
      <c r="U16" s="15">
        <f t="shared" ref="U16:X16" si="13">365/U15</f>
        <v>32.083786210838923</v>
      </c>
      <c r="V16" s="15">
        <f t="shared" si="13"/>
        <v>32.42208456646167</v>
      </c>
      <c r="W16" s="15">
        <f t="shared" si="13"/>
        <v>31.449647362674511</v>
      </c>
      <c r="X16" s="15">
        <f t="shared" si="13"/>
        <v>30.928359600052261</v>
      </c>
      <c r="Y16" s="13" t="s">
        <v>76</v>
      </c>
    </row>
    <row r="17" spans="1:25" ht="16" x14ac:dyDescent="0.4">
      <c r="A17" s="3" t="s">
        <v>28</v>
      </c>
      <c r="B17" s="5">
        <v>4216336</v>
      </c>
      <c r="C17" s="5">
        <v>6621727</v>
      </c>
      <c r="D17" s="5">
        <v>8322978</v>
      </c>
      <c r="E17" s="5">
        <v>15158141</v>
      </c>
      <c r="F17" s="5">
        <v>12608125</v>
      </c>
      <c r="G17" s="5">
        <v>16742274</v>
      </c>
      <c r="H17" s="9">
        <f t="shared" si="1"/>
        <v>5.5291907032701072E-2</v>
      </c>
      <c r="I17" s="9">
        <f t="shared" si="2"/>
        <v>0.57049319598817561</v>
      </c>
      <c r="J17" s="9">
        <f t="shared" si="3"/>
        <v>0.25691953171732984</v>
      </c>
      <c r="K17" s="9">
        <f t="shared" si="4"/>
        <v>0.82124006575531028</v>
      </c>
      <c r="L17" s="9">
        <f t="shared" si="5"/>
        <v>-0.16822748910964747</v>
      </c>
      <c r="M17" s="9">
        <f t="shared" si="6"/>
        <v>0.32789562286224161</v>
      </c>
      <c r="N17" s="9">
        <f t="shared" si="7"/>
        <v>0.36166418544268197</v>
      </c>
      <c r="R17" s="11"/>
      <c r="Y17" s="11"/>
    </row>
    <row r="18" spans="1:25" ht="16" x14ac:dyDescent="0.4">
      <c r="A18" s="3" t="s">
        <v>29</v>
      </c>
      <c r="B18" s="5">
        <v>220558</v>
      </c>
      <c r="C18" s="5">
        <v>54494</v>
      </c>
      <c r="D18" s="5">
        <v>244393</v>
      </c>
      <c r="E18" s="5">
        <v>18344</v>
      </c>
      <c r="F18" s="5">
        <v>1208569</v>
      </c>
      <c r="G18" s="5">
        <v>31235</v>
      </c>
      <c r="H18" s="9">
        <f t="shared" si="1"/>
        <v>1.0315460827880478E-4</v>
      </c>
      <c r="I18" s="9"/>
      <c r="J18" s="9"/>
      <c r="K18" s="9"/>
      <c r="L18" s="9"/>
      <c r="M18" s="9"/>
      <c r="N18" s="9"/>
      <c r="R18" s="3" t="s">
        <v>77</v>
      </c>
      <c r="T18" s="5">
        <f>+AVERAGE(B8:C8)</f>
        <v>2682035.5</v>
      </c>
      <c r="U18" s="5">
        <f>+AVERAGE(C8:D8)</f>
        <v>3033347</v>
      </c>
      <c r="V18" s="5">
        <f>+AVERAGE(D8:E8)</f>
        <v>2610961.5</v>
      </c>
      <c r="W18" s="5">
        <f>+AVERAGE(E8:F8)</f>
        <v>3758754</v>
      </c>
      <c r="X18" s="5">
        <f>+AVERAGE(F8:G8)</f>
        <v>4946744</v>
      </c>
      <c r="Y18" s="11"/>
    </row>
    <row r="19" spans="1:25" ht="16" x14ac:dyDescent="0.35">
      <c r="A19" s="3" t="s">
        <v>30</v>
      </c>
      <c r="B19" s="5">
        <v>17394198</v>
      </c>
      <c r="C19" s="5">
        <v>17394198</v>
      </c>
      <c r="D19" s="5">
        <v>17445197</v>
      </c>
      <c r="E19" s="5">
        <v>17445197</v>
      </c>
      <c r="F19" s="5">
        <v>19230494</v>
      </c>
      <c r="G19" s="5">
        <v>19230494</v>
      </c>
      <c r="H19" s="9">
        <f t="shared" si="1"/>
        <v>6.350933489924461E-2</v>
      </c>
      <c r="I19" s="9">
        <f t="shared" si="2"/>
        <v>0</v>
      </c>
      <c r="J19" s="9">
        <f t="shared" si="3"/>
        <v>2.9319546667228025E-3</v>
      </c>
      <c r="K19" s="9">
        <f t="shared" si="4"/>
        <v>0</v>
      </c>
      <c r="L19" s="9">
        <f t="shared" si="5"/>
        <v>0.10233745139134864</v>
      </c>
      <c r="M19" s="9">
        <f t="shared" si="6"/>
        <v>0</v>
      </c>
      <c r="N19" s="9">
        <f t="shared" si="7"/>
        <v>2.1053881211614289E-2</v>
      </c>
      <c r="R19" s="13" t="s">
        <v>78</v>
      </c>
      <c r="T19" s="15">
        <f>C41/T18</f>
        <v>87.701052055425819</v>
      </c>
      <c r="U19" s="15">
        <f>D41/U18</f>
        <v>133.44801303642478</v>
      </c>
      <c r="V19" s="15">
        <f>E41/V18</f>
        <v>212.98289499864322</v>
      </c>
      <c r="W19" s="15">
        <f>F41/W18</f>
        <v>188.66489028013007</v>
      </c>
      <c r="X19" s="15">
        <f>G41/X18</f>
        <v>158.09050053934467</v>
      </c>
      <c r="Y19" s="13" t="s">
        <v>69</v>
      </c>
    </row>
    <row r="20" spans="1:25" ht="16" x14ac:dyDescent="0.35">
      <c r="A20" s="2" t="s">
        <v>31</v>
      </c>
      <c r="B20" s="6">
        <f t="shared" ref="B20:G20" si="14">SUM(B14:B19)</f>
        <v>158252211</v>
      </c>
      <c r="C20" s="6">
        <f t="shared" si="14"/>
        <v>157630690</v>
      </c>
      <c r="D20" s="6">
        <f t="shared" si="14"/>
        <v>163420600</v>
      </c>
      <c r="E20" s="6">
        <f t="shared" si="14"/>
        <v>186427892</v>
      </c>
      <c r="F20" s="6">
        <f t="shared" si="14"/>
        <v>203569587</v>
      </c>
      <c r="G20" s="6">
        <f t="shared" si="14"/>
        <v>217417667</v>
      </c>
      <c r="H20" s="18">
        <f t="shared" si="1"/>
        <v>0.71802895060914418</v>
      </c>
      <c r="I20" s="18">
        <f t="shared" si="2"/>
        <v>-3.9274080031652669E-3</v>
      </c>
      <c r="J20" s="18">
        <f t="shared" si="3"/>
        <v>3.673085488618999E-2</v>
      </c>
      <c r="K20" s="18">
        <f t="shared" si="4"/>
        <v>0.14078575161270979</v>
      </c>
      <c r="L20" s="18">
        <f t="shared" si="5"/>
        <v>9.1948124371861617E-2</v>
      </c>
      <c r="M20" s="18">
        <f t="shared" si="6"/>
        <v>6.8026271527485083E-2</v>
      </c>
      <c r="N20" s="18">
        <f t="shared" si="7"/>
        <v>6.6712718879016239E-2</v>
      </c>
      <c r="R20" s="13" t="s">
        <v>79</v>
      </c>
      <c r="T20" s="15">
        <f>365/T19</f>
        <v>4.1618656954003832</v>
      </c>
      <c r="U20" s="15">
        <f t="shared" ref="U20:X20" si="15">365/U19</f>
        <v>2.7351475057209944</v>
      </c>
      <c r="V20" s="15">
        <f t="shared" si="15"/>
        <v>1.7137526466729884</v>
      </c>
      <c r="W20" s="15">
        <f t="shared" si="15"/>
        <v>1.9346471908898744</v>
      </c>
      <c r="X20" s="15">
        <f t="shared" si="15"/>
        <v>2.3088041264640116</v>
      </c>
      <c r="Y20" s="13" t="s">
        <v>76</v>
      </c>
    </row>
    <row r="21" spans="1:25" ht="16" x14ac:dyDescent="0.4">
      <c r="A21" s="2" t="s">
        <v>32</v>
      </c>
      <c r="B21" s="6">
        <f t="shared" ref="B21:G21" si="16">+B13+B20</f>
        <v>205228133</v>
      </c>
      <c r="C21" s="6">
        <f t="shared" si="16"/>
        <v>214449360</v>
      </c>
      <c r="D21" s="6">
        <f t="shared" si="16"/>
        <v>220130830</v>
      </c>
      <c r="E21" s="6">
        <f t="shared" si="16"/>
        <v>275843932</v>
      </c>
      <c r="F21" s="6">
        <f t="shared" si="16"/>
        <v>280153854</v>
      </c>
      <c r="G21" s="6">
        <f t="shared" si="16"/>
        <v>302797912</v>
      </c>
      <c r="H21" s="18">
        <f t="shared" si="1"/>
        <v>1</v>
      </c>
      <c r="I21" s="18">
        <f t="shared" si="2"/>
        <v>4.49315932723513E-2</v>
      </c>
      <c r="J21" s="18">
        <f t="shared" si="3"/>
        <v>2.6493294267700307E-2</v>
      </c>
      <c r="K21" s="18">
        <f t="shared" si="4"/>
        <v>0.25309086419198978</v>
      </c>
      <c r="L21" s="18">
        <f t="shared" si="5"/>
        <v>1.5624494505827924E-2</v>
      </c>
      <c r="M21" s="18">
        <f t="shared" si="6"/>
        <v>8.0827222887321026E-2</v>
      </c>
      <c r="N21" s="18">
        <f t="shared" si="7"/>
        <v>8.4193493825038074E-2</v>
      </c>
      <c r="R21" s="11"/>
      <c r="Y21" s="11"/>
    </row>
    <row r="22" spans="1:25" ht="16" x14ac:dyDescent="0.4">
      <c r="A22" s="3" t="s">
        <v>33</v>
      </c>
      <c r="B22" s="5">
        <v>9891377</v>
      </c>
      <c r="C22" s="5">
        <v>8825357</v>
      </c>
      <c r="D22" s="5">
        <v>12051650</v>
      </c>
      <c r="E22" s="5">
        <v>15181511</v>
      </c>
      <c r="F22" s="5">
        <v>19151800</v>
      </c>
      <c r="G22" s="5">
        <v>22350040</v>
      </c>
      <c r="H22" s="9">
        <f t="shared" si="1"/>
        <v>7.381173751290597E-2</v>
      </c>
      <c r="I22" s="9">
        <f t="shared" si="2"/>
        <v>-0.10777265895334898</v>
      </c>
      <c r="J22" s="9">
        <f t="shared" si="3"/>
        <v>0.36557082053451206</v>
      </c>
      <c r="K22" s="9">
        <f t="shared" si="4"/>
        <v>0.25970394095414329</v>
      </c>
      <c r="L22" s="9">
        <f t="shared" si="5"/>
        <v>0.26152133341668038</v>
      </c>
      <c r="M22" s="9">
        <f t="shared" si="6"/>
        <v>0.16699422508589268</v>
      </c>
      <c r="N22" s="9">
        <f t="shared" si="7"/>
        <v>0.18920353220757588</v>
      </c>
      <c r="R22" s="3" t="s">
        <v>80</v>
      </c>
      <c r="T22" s="5">
        <f>+B9</f>
        <v>11448969</v>
      </c>
      <c r="U22" s="5">
        <f t="shared" ref="U22:X22" si="17">+C9</f>
        <v>11115693</v>
      </c>
      <c r="V22" s="5">
        <f t="shared" si="17"/>
        <v>18000664</v>
      </c>
      <c r="W22" s="5">
        <f t="shared" si="17"/>
        <v>27034927</v>
      </c>
      <c r="X22" s="5">
        <f t="shared" si="17"/>
        <v>28213703</v>
      </c>
      <c r="Y22" s="11"/>
    </row>
    <row r="23" spans="1:25" ht="16" x14ac:dyDescent="0.4">
      <c r="A23" s="3" t="s">
        <v>34</v>
      </c>
      <c r="B23" s="5">
        <v>25631650</v>
      </c>
      <c r="C23" s="5">
        <v>26580199</v>
      </c>
      <c r="D23" s="5">
        <v>30076101</v>
      </c>
      <c r="E23" s="5">
        <v>60026455</v>
      </c>
      <c r="F23" s="5">
        <v>41110051</v>
      </c>
      <c r="G23" s="5">
        <v>42875311</v>
      </c>
      <c r="H23" s="9">
        <f t="shared" si="1"/>
        <v>0.14159711576875075</v>
      </c>
      <c r="I23" s="9">
        <f t="shared" si="2"/>
        <v>3.7006942588557523E-2</v>
      </c>
      <c r="J23" s="9">
        <f t="shared" si="3"/>
        <v>0.13152279258706834</v>
      </c>
      <c r="K23" s="9">
        <f t="shared" si="4"/>
        <v>0.99581903917665393</v>
      </c>
      <c r="L23" s="9">
        <f t="shared" si="5"/>
        <v>-0.31513445196788648</v>
      </c>
      <c r="M23" s="9">
        <f t="shared" si="6"/>
        <v>4.2939864024980068E-2</v>
      </c>
      <c r="N23" s="9">
        <f t="shared" si="7"/>
        <v>0.17843083728187467</v>
      </c>
      <c r="R23" s="3" t="s">
        <v>81</v>
      </c>
      <c r="T23" s="5">
        <f>+C9</f>
        <v>11115693</v>
      </c>
      <c r="U23" s="5">
        <f t="shared" ref="U23:X23" si="18">+D9</f>
        <v>18000664</v>
      </c>
      <c r="V23" s="5">
        <f t="shared" si="18"/>
        <v>27034927</v>
      </c>
      <c r="W23" s="5">
        <f t="shared" si="18"/>
        <v>28213703</v>
      </c>
      <c r="X23" s="5">
        <f t="shared" si="18"/>
        <v>29603192</v>
      </c>
      <c r="Y23" s="11"/>
    </row>
    <row r="24" spans="1:25" ht="16" x14ac:dyDescent="0.4">
      <c r="A24" s="3" t="s">
        <v>35</v>
      </c>
      <c r="B24" s="5">
        <v>11169941</v>
      </c>
      <c r="C24" s="5">
        <v>6319993</v>
      </c>
      <c r="D24" s="5">
        <v>6319993</v>
      </c>
      <c r="E24" s="5">
        <v>7171744</v>
      </c>
      <c r="F24" s="5">
        <v>11371521</v>
      </c>
      <c r="G24" s="5">
        <v>15135552</v>
      </c>
      <c r="H24" s="9">
        <f t="shared" si="1"/>
        <v>4.9985655119048511E-2</v>
      </c>
      <c r="I24" s="9">
        <f t="shared" si="2"/>
        <v>-0.43419638474366162</v>
      </c>
      <c r="J24" s="9">
        <f t="shared" si="3"/>
        <v>0</v>
      </c>
      <c r="K24" s="9">
        <f t="shared" si="4"/>
        <v>0.13477087711964231</v>
      </c>
      <c r="L24" s="9">
        <f t="shared" si="5"/>
        <v>0.58560051780989397</v>
      </c>
      <c r="M24" s="9">
        <f t="shared" si="6"/>
        <v>0.33100506080057368</v>
      </c>
      <c r="N24" s="9">
        <f t="shared" si="7"/>
        <v>0.12343601419728967</v>
      </c>
      <c r="R24" s="10" t="s">
        <v>82</v>
      </c>
      <c r="T24" s="5">
        <f>+C42+C9-B9</f>
        <v>100348754</v>
      </c>
      <c r="U24" s="5">
        <f>+D42+D9-C9</f>
        <v>172505547</v>
      </c>
      <c r="V24" s="5">
        <f>+E42+E9-D9</f>
        <v>262534168</v>
      </c>
      <c r="W24" s="5">
        <f>+F42+F9-E9</f>
        <v>321782529</v>
      </c>
      <c r="X24" s="5">
        <f>+G42+G9-F9</f>
        <v>342551564</v>
      </c>
      <c r="Y24" s="11"/>
    </row>
    <row r="25" spans="1:25" ht="16" x14ac:dyDescent="0.4">
      <c r="A25" s="3" t="s">
        <v>36</v>
      </c>
      <c r="B25" s="5">
        <v>895168</v>
      </c>
      <c r="C25" s="5">
        <v>2373473</v>
      </c>
      <c r="D25" s="5">
        <v>1585180</v>
      </c>
      <c r="E25" s="5">
        <v>10416312</v>
      </c>
      <c r="F25" s="5">
        <v>294146</v>
      </c>
      <c r="G25" s="5">
        <v>1496479</v>
      </c>
      <c r="H25" s="9">
        <f t="shared" si="1"/>
        <v>4.9421708033442454E-3</v>
      </c>
      <c r="I25" s="9"/>
      <c r="J25" s="9"/>
      <c r="K25" s="9"/>
      <c r="L25" s="9"/>
      <c r="M25" s="9"/>
      <c r="N25" s="9"/>
      <c r="R25" s="3" t="s">
        <v>83</v>
      </c>
      <c r="T25" s="5">
        <f>+AVERAGE(B23:C23)</f>
        <v>26105924.5</v>
      </c>
      <c r="U25" s="5">
        <f>+AVERAGE(C23:D23)</f>
        <v>28328150</v>
      </c>
      <c r="V25" s="5">
        <f>+AVERAGE(D23:E23)</f>
        <v>45051278</v>
      </c>
      <c r="W25" s="5">
        <f>+AVERAGE(E23:F23)</f>
        <v>50568253</v>
      </c>
      <c r="X25" s="5">
        <f>+AVERAGE(F23:G23)</f>
        <v>41992681</v>
      </c>
      <c r="Y25" s="11"/>
    </row>
    <row r="26" spans="1:25" ht="16" x14ac:dyDescent="0.35">
      <c r="A26" s="3" t="s">
        <v>37</v>
      </c>
      <c r="B26" s="5">
        <v>12593604</v>
      </c>
      <c r="C26" s="5">
        <v>5770713</v>
      </c>
      <c r="D26" s="5">
        <v>9516301</v>
      </c>
      <c r="E26" s="5">
        <v>22885674</v>
      </c>
      <c r="F26" s="5">
        <v>27858736</v>
      </c>
      <c r="G26" s="5">
        <v>32217090</v>
      </c>
      <c r="H26" s="9">
        <f t="shared" si="1"/>
        <v>0.10639799259910353</v>
      </c>
      <c r="I26" s="9">
        <f t="shared" si="2"/>
        <v>-0.54177430066881571</v>
      </c>
      <c r="J26" s="9">
        <f t="shared" si="3"/>
        <v>0.64906849465568639</v>
      </c>
      <c r="K26" s="9">
        <f t="shared" si="4"/>
        <v>1.4048917746506757</v>
      </c>
      <c r="L26" s="9">
        <f t="shared" si="5"/>
        <v>0.21730022021636763</v>
      </c>
      <c r="M26" s="9">
        <f t="shared" si="6"/>
        <v>0.15644478629611913</v>
      </c>
      <c r="N26" s="9">
        <f t="shared" si="7"/>
        <v>0.37718619503000661</v>
      </c>
      <c r="R26" s="13" t="s">
        <v>84</v>
      </c>
      <c r="T26" s="14">
        <f>+T24/T25</f>
        <v>3.8439073092393263</v>
      </c>
      <c r="U26" s="14">
        <f t="shared" ref="U26:X26" si="19">+U24/U25</f>
        <v>6.0895450991328417</v>
      </c>
      <c r="V26" s="14">
        <f t="shared" si="19"/>
        <v>5.8274521757185225</v>
      </c>
      <c r="W26" s="14">
        <f t="shared" si="19"/>
        <v>6.3633309420438158</v>
      </c>
      <c r="X26" s="14">
        <f t="shared" si="19"/>
        <v>8.1574111450516824</v>
      </c>
      <c r="Y26" s="13" t="s">
        <v>69</v>
      </c>
    </row>
    <row r="27" spans="1:25" ht="16" x14ac:dyDescent="0.35">
      <c r="A27" s="2" t="s">
        <v>38</v>
      </c>
      <c r="B27" s="6">
        <f>SUM(B22:B26)</f>
        <v>60181740</v>
      </c>
      <c r="C27" s="6">
        <f t="shared" ref="C27:G27" si="20">SUM(C22:C26)</f>
        <v>49869735</v>
      </c>
      <c r="D27" s="6">
        <f t="shared" si="20"/>
        <v>59549225</v>
      </c>
      <c r="E27" s="6">
        <f t="shared" si="20"/>
        <v>115681696</v>
      </c>
      <c r="F27" s="6">
        <f t="shared" si="20"/>
        <v>99786254</v>
      </c>
      <c r="G27" s="6">
        <f t="shared" si="20"/>
        <v>114074472</v>
      </c>
      <c r="H27" s="18">
        <f t="shared" si="1"/>
        <v>0.37673467180315301</v>
      </c>
      <c r="I27" s="18">
        <f t="shared" si="2"/>
        <v>-0.17134773770249911</v>
      </c>
      <c r="J27" s="18">
        <f t="shared" si="3"/>
        <v>0.19409547694608764</v>
      </c>
      <c r="K27" s="18">
        <f t="shared" si="4"/>
        <v>0.94262303161795979</v>
      </c>
      <c r="L27" s="18">
        <f t="shared" si="5"/>
        <v>-0.1374067164437146</v>
      </c>
      <c r="M27" s="18">
        <f t="shared" si="6"/>
        <v>0.14318823913361856</v>
      </c>
      <c r="N27" s="18">
        <f t="shared" si="7"/>
        <v>0.19423045871029046</v>
      </c>
      <c r="R27" s="13" t="s">
        <v>85</v>
      </c>
      <c r="T27" s="15">
        <f>365/T26</f>
        <v>94.95546344800654</v>
      </c>
      <c r="U27" s="15">
        <f t="shared" ref="U27:X27" si="21">365/U26</f>
        <v>59.938795765216753</v>
      </c>
      <c r="V27" s="15">
        <f t="shared" si="21"/>
        <v>62.634576654418559</v>
      </c>
      <c r="W27" s="15">
        <f t="shared" si="21"/>
        <v>57.359895835115395</v>
      </c>
      <c r="X27" s="15">
        <f t="shared" si="21"/>
        <v>44.744587898013506</v>
      </c>
      <c r="Y27" s="13" t="s">
        <v>76</v>
      </c>
    </row>
    <row r="28" spans="1:25" ht="16" x14ac:dyDescent="0.4">
      <c r="A28" s="3" t="s">
        <v>39</v>
      </c>
      <c r="B28" s="5"/>
      <c r="C28" s="5"/>
      <c r="D28" s="5"/>
      <c r="E28" s="5"/>
      <c r="F28" s="5">
        <v>11934220</v>
      </c>
      <c r="G28" s="5">
        <v>14075506</v>
      </c>
      <c r="H28" s="9">
        <f t="shared" si="1"/>
        <v>4.6484818561100247E-2</v>
      </c>
      <c r="I28" s="9"/>
      <c r="J28" s="9"/>
      <c r="K28" s="9"/>
      <c r="L28" s="9"/>
      <c r="M28" s="9">
        <f t="shared" si="6"/>
        <v>0.17942404279458568</v>
      </c>
      <c r="N28" s="9">
        <f t="shared" si="7"/>
        <v>0.17942404279458568</v>
      </c>
      <c r="R28" s="11"/>
      <c r="Y28" s="11"/>
    </row>
    <row r="29" spans="1:25" ht="16" x14ac:dyDescent="0.4">
      <c r="A29" s="3" t="s">
        <v>40</v>
      </c>
      <c r="B29" s="5">
        <v>5075662</v>
      </c>
      <c r="C29" s="5">
        <v>7522878</v>
      </c>
      <c r="D29" s="5">
        <v>8318777</v>
      </c>
      <c r="E29" s="5">
        <v>13792642</v>
      </c>
      <c r="F29" s="5"/>
      <c r="G29" s="5"/>
      <c r="H29" s="9">
        <f t="shared" si="1"/>
        <v>0</v>
      </c>
      <c r="I29" s="9"/>
      <c r="J29" s="9"/>
      <c r="K29" s="9"/>
      <c r="L29" s="9"/>
      <c r="M29" s="9"/>
      <c r="N29" s="9"/>
      <c r="R29" s="13" t="s">
        <v>86</v>
      </c>
      <c r="S29" s="11"/>
      <c r="T29" s="15">
        <f>+T16+T20-T27</f>
        <v>-49.892050425838903</v>
      </c>
      <c r="U29" s="15">
        <f t="shared" ref="U29:X29" si="22">+U16+U20-U27</f>
        <v>-25.119862048656834</v>
      </c>
      <c r="V29" s="15">
        <f t="shared" si="22"/>
        <v>-28.498739441283902</v>
      </c>
      <c r="W29" s="15">
        <f t="shared" si="22"/>
        <v>-23.975601281551008</v>
      </c>
      <c r="X29" s="15">
        <f t="shared" si="22"/>
        <v>-11.507424171497235</v>
      </c>
      <c r="Y29" s="13" t="s">
        <v>76</v>
      </c>
    </row>
    <row r="30" spans="1:25" ht="16" x14ac:dyDescent="0.4">
      <c r="A30" s="3" t="s">
        <v>41</v>
      </c>
      <c r="B30" s="5">
        <v>37562197</v>
      </c>
      <c r="C30" s="5">
        <v>60447463</v>
      </c>
      <c r="D30" s="5">
        <v>51283249</v>
      </c>
      <c r="E30" s="5">
        <v>81552899</v>
      </c>
      <c r="F30" s="5">
        <v>80795722</v>
      </c>
      <c r="G30" s="5">
        <v>67728809</v>
      </c>
      <c r="H30" s="9">
        <f t="shared" si="1"/>
        <v>0.22367660514118737</v>
      </c>
      <c r="I30" s="9">
        <f t="shared" si="2"/>
        <v>0.60926324410683441</v>
      </c>
      <c r="J30" s="9">
        <f t="shared" si="3"/>
        <v>-0.15160626344235484</v>
      </c>
      <c r="K30" s="9">
        <f t="shared" si="4"/>
        <v>0.59024438954715985</v>
      </c>
      <c r="L30" s="9">
        <f t="shared" si="5"/>
        <v>-9.2844890774513855E-3</v>
      </c>
      <c r="M30" s="9">
        <f t="shared" si="6"/>
        <v>-0.16172778306257352</v>
      </c>
      <c r="N30" s="9">
        <f t="shared" si="7"/>
        <v>0.17537781961432292</v>
      </c>
      <c r="R30" s="11"/>
    </row>
    <row r="31" spans="1:25" ht="16" x14ac:dyDescent="0.35">
      <c r="A31" s="2" t="s">
        <v>42</v>
      </c>
      <c r="B31" s="6">
        <f>SUM(B28:B30)</f>
        <v>42637859</v>
      </c>
      <c r="C31" s="6">
        <f t="shared" ref="C31:G31" si="23">SUM(C28:C30)</f>
        <v>67970341</v>
      </c>
      <c r="D31" s="6">
        <f t="shared" si="23"/>
        <v>59602026</v>
      </c>
      <c r="E31" s="6">
        <f t="shared" si="23"/>
        <v>95345541</v>
      </c>
      <c r="F31" s="6">
        <f t="shared" si="23"/>
        <v>92729942</v>
      </c>
      <c r="G31" s="6">
        <f t="shared" si="23"/>
        <v>81804315</v>
      </c>
      <c r="H31" s="18">
        <f t="shared" si="1"/>
        <v>0.27016142370228763</v>
      </c>
      <c r="I31" s="18">
        <f t="shared" si="2"/>
        <v>0.59413119218767529</v>
      </c>
      <c r="J31" s="18">
        <f t="shared" si="3"/>
        <v>-0.1231171548778901</v>
      </c>
      <c r="K31" s="18">
        <f t="shared" si="4"/>
        <v>0.59970302016243537</v>
      </c>
      <c r="L31" s="18">
        <f t="shared" si="5"/>
        <v>-2.7432840304508876E-2</v>
      </c>
      <c r="M31" s="18">
        <f t="shared" si="6"/>
        <v>-0.11782199755932121</v>
      </c>
      <c r="N31" s="18">
        <f t="shared" si="7"/>
        <v>0.18509244392167809</v>
      </c>
      <c r="R31" s="3" t="s">
        <v>87</v>
      </c>
      <c r="S31" s="5">
        <f t="shared" ref="S31:X31" si="24">+B7+B8+B9+B10-B22-B23-B24</f>
        <v>-1852170</v>
      </c>
      <c r="T31" s="5">
        <f t="shared" si="24"/>
        <v>12505278</v>
      </c>
      <c r="U31" s="5">
        <f t="shared" si="24"/>
        <v>6022736</v>
      </c>
      <c r="V31" s="5">
        <f t="shared" si="24"/>
        <v>4470543</v>
      </c>
      <c r="W31" s="5">
        <f t="shared" si="24"/>
        <v>2713162</v>
      </c>
      <c r="X31" s="5">
        <f t="shared" si="24"/>
        <v>1855562</v>
      </c>
    </row>
    <row r="32" spans="1:25" ht="16" x14ac:dyDescent="0.35">
      <c r="A32" s="2" t="s">
        <v>43</v>
      </c>
      <c r="B32" s="6">
        <f>+B31+B27</f>
        <v>102819599</v>
      </c>
      <c r="C32" s="6">
        <f t="shared" ref="C32:G32" si="25">+C31+C27</f>
        <v>117840076</v>
      </c>
      <c r="D32" s="6">
        <f t="shared" si="25"/>
        <v>119151251</v>
      </c>
      <c r="E32" s="6">
        <f t="shared" si="25"/>
        <v>211027237</v>
      </c>
      <c r="F32" s="6">
        <f t="shared" si="25"/>
        <v>192516196</v>
      </c>
      <c r="G32" s="6">
        <f t="shared" si="25"/>
        <v>195878787</v>
      </c>
      <c r="H32" s="18">
        <f t="shared" si="1"/>
        <v>0.64689609550544058</v>
      </c>
      <c r="I32" s="18">
        <f t="shared" si="2"/>
        <v>0.14608573799242297</v>
      </c>
      <c r="J32" s="18">
        <f t="shared" si="3"/>
        <v>1.1126732470878586E-2</v>
      </c>
      <c r="K32" s="18">
        <f t="shared" si="4"/>
        <v>0.77108704465050049</v>
      </c>
      <c r="L32" s="18">
        <f t="shared" si="5"/>
        <v>-8.7718728933554702E-2</v>
      </c>
      <c r="M32" s="18">
        <f t="shared" si="6"/>
        <v>1.7466535646694314E-2</v>
      </c>
      <c r="N32" s="18">
        <f t="shared" si="7"/>
        <v>0.17160946436538832</v>
      </c>
      <c r="R32" s="3" t="s">
        <v>88</v>
      </c>
      <c r="T32" s="5">
        <f>+AVERAGE(S31:T31)</f>
        <v>5326554</v>
      </c>
      <c r="U32" s="5">
        <f t="shared" ref="U32:V32" si="26">+AVERAGE(T31:U31)</f>
        <v>9264007</v>
      </c>
      <c r="V32" s="5">
        <f t="shared" si="26"/>
        <v>5246639.5</v>
      </c>
      <c r="W32" s="5">
        <f t="shared" ref="W32" si="27">+AVERAGE(V31:W31)</f>
        <v>3591852.5</v>
      </c>
      <c r="X32" s="5">
        <f t="shared" ref="X32" si="28">+AVERAGE(W31:X31)</f>
        <v>2284362</v>
      </c>
    </row>
    <row r="33" spans="1:24" ht="16" x14ac:dyDescent="0.35">
      <c r="A33" s="3" t="s">
        <v>44</v>
      </c>
      <c r="B33" s="5">
        <v>950000</v>
      </c>
      <c r="C33" s="5">
        <v>950000</v>
      </c>
      <c r="D33" s="5">
        <v>950000</v>
      </c>
      <c r="E33" s="5">
        <v>950000</v>
      </c>
      <c r="F33" s="5">
        <v>950000</v>
      </c>
      <c r="G33" s="5">
        <v>950000</v>
      </c>
      <c r="H33" s="9">
        <f t="shared" si="1"/>
        <v>3.1374060465780228E-3</v>
      </c>
      <c r="I33" s="9"/>
      <c r="J33" s="9"/>
      <c r="K33" s="9"/>
      <c r="L33" s="9"/>
      <c r="M33" s="9"/>
      <c r="N33" s="9"/>
      <c r="R33" s="13" t="s">
        <v>89</v>
      </c>
      <c r="T33" s="15">
        <f>C41/T32</f>
        <v>44.159382407462687</v>
      </c>
      <c r="U33" s="15">
        <f>D41/U32</f>
        <v>43.695360981484576</v>
      </c>
      <c r="V33" s="15">
        <f>E41/V32</f>
        <v>105.98977478822397</v>
      </c>
      <c r="W33" s="15">
        <f>F41/W32</f>
        <v>197.43152342697815</v>
      </c>
      <c r="X33" s="15">
        <f>G41/X32</f>
        <v>342.34207844465982</v>
      </c>
    </row>
    <row r="34" spans="1:24" ht="16" x14ac:dyDescent="0.35">
      <c r="A34" s="3" t="s">
        <v>45</v>
      </c>
      <c r="B34" s="5">
        <v>570873</v>
      </c>
      <c r="C34" s="5">
        <v>15570873</v>
      </c>
      <c r="D34" s="5">
        <v>570873</v>
      </c>
      <c r="E34" s="5">
        <v>570873</v>
      </c>
      <c r="F34" s="5">
        <v>570873</v>
      </c>
      <c r="G34" s="5">
        <v>570873</v>
      </c>
      <c r="H34" s="9">
        <f t="shared" si="1"/>
        <v>1.8853267389769847E-3</v>
      </c>
      <c r="I34" s="9"/>
      <c r="J34" s="9"/>
      <c r="K34" s="9"/>
      <c r="L34" s="9"/>
      <c r="M34" s="9"/>
      <c r="N34" s="9"/>
    </row>
    <row r="35" spans="1:24" ht="16" x14ac:dyDescent="0.35">
      <c r="A35" s="3" t="s">
        <v>46</v>
      </c>
      <c r="B35" s="5">
        <v>100887661</v>
      </c>
      <c r="C35" s="5">
        <v>80088411</v>
      </c>
      <c r="D35" s="5">
        <v>99458706</v>
      </c>
      <c r="E35" s="5">
        <v>63295822</v>
      </c>
      <c r="F35" s="5">
        <v>86116785</v>
      </c>
      <c r="G35" s="5">
        <v>105398252</v>
      </c>
      <c r="H35" s="9">
        <f t="shared" si="1"/>
        <v>0.34808117170900438</v>
      </c>
      <c r="I35" s="9">
        <f t="shared" si="2"/>
        <v>-0.20616247610299931</v>
      </c>
      <c r="J35" s="9">
        <f t="shared" si="3"/>
        <v>0.24186139739993084</v>
      </c>
      <c r="K35" s="9">
        <f t="shared" si="4"/>
        <v>-0.36359696857507884</v>
      </c>
      <c r="L35" s="9">
        <f t="shared" si="5"/>
        <v>0.36054453957482369</v>
      </c>
      <c r="M35" s="9">
        <f t="shared" si="6"/>
        <v>0.22389905754145367</v>
      </c>
      <c r="N35" s="9">
        <f>+AVERAGE(I35:M35)</f>
        <v>5.1309109967626013E-2</v>
      </c>
    </row>
    <row r="36" spans="1:24" ht="16" x14ac:dyDescent="0.35">
      <c r="A36" s="2" t="s">
        <v>47</v>
      </c>
      <c r="B36" s="6">
        <f>SUM(B33:B35)</f>
        <v>102408534</v>
      </c>
      <c r="C36" s="6">
        <f t="shared" ref="C36:G36" si="29">SUM(C33:C35)</f>
        <v>96609284</v>
      </c>
      <c r="D36" s="6">
        <f t="shared" si="29"/>
        <v>100979579</v>
      </c>
      <c r="E36" s="6">
        <f t="shared" si="29"/>
        <v>64816695</v>
      </c>
      <c r="F36" s="6">
        <f t="shared" si="29"/>
        <v>87637658</v>
      </c>
      <c r="G36" s="6">
        <f t="shared" si="29"/>
        <v>106919125</v>
      </c>
      <c r="H36" s="18">
        <f t="shared" si="1"/>
        <v>0.35310390449455942</v>
      </c>
      <c r="I36" s="18">
        <f t="shared" si="2"/>
        <v>-5.6628581364127295E-2</v>
      </c>
      <c r="J36" s="18">
        <f t="shared" si="3"/>
        <v>4.523680146516762E-2</v>
      </c>
      <c r="K36" s="18">
        <f t="shared" si="4"/>
        <v>-0.35812076419926453</v>
      </c>
      <c r="L36" s="18">
        <f t="shared" si="5"/>
        <v>0.35208464424173425</v>
      </c>
      <c r="M36" s="18">
        <f t="shared" si="6"/>
        <v>0.22001349009121163</v>
      </c>
      <c r="N36" s="18">
        <f t="shared" si="7"/>
        <v>4.0517118046944335E-2</v>
      </c>
    </row>
    <row r="37" spans="1:24" ht="16" x14ac:dyDescent="0.35">
      <c r="A37" s="2" t="s">
        <v>48</v>
      </c>
      <c r="B37" s="6">
        <f>+B32+B36</f>
        <v>205228133</v>
      </c>
      <c r="C37" s="6">
        <f t="shared" ref="C37:G37" si="30">+C32+C36</f>
        <v>214449360</v>
      </c>
      <c r="D37" s="6">
        <f t="shared" si="30"/>
        <v>220130830</v>
      </c>
      <c r="E37" s="6">
        <f t="shared" si="30"/>
        <v>275843932</v>
      </c>
      <c r="F37" s="6">
        <f t="shared" si="30"/>
        <v>280153854</v>
      </c>
      <c r="G37" s="6">
        <f t="shared" si="30"/>
        <v>302797912</v>
      </c>
      <c r="H37" s="18">
        <f t="shared" si="1"/>
        <v>1</v>
      </c>
      <c r="I37" s="18">
        <f t="shared" si="2"/>
        <v>4.49315932723513E-2</v>
      </c>
      <c r="J37" s="18">
        <f t="shared" si="3"/>
        <v>2.6493294267700307E-2</v>
      </c>
      <c r="K37" s="18">
        <f t="shared" si="4"/>
        <v>0.25309086419198978</v>
      </c>
      <c r="L37" s="18">
        <f t="shared" si="5"/>
        <v>1.5624494505827924E-2</v>
      </c>
      <c r="M37" s="18">
        <f t="shared" si="6"/>
        <v>8.0827222887321026E-2</v>
      </c>
      <c r="N37" s="18">
        <f t="shared" si="7"/>
        <v>8.4193493825038074E-2</v>
      </c>
    </row>
    <row r="38" spans="1:24" ht="16" x14ac:dyDescent="0.35">
      <c r="A38" s="2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24" ht="16" x14ac:dyDescent="0.35">
      <c r="A39" s="3"/>
      <c r="I39" s="41" t="s">
        <v>91</v>
      </c>
      <c r="J39" s="42"/>
      <c r="K39" s="42"/>
      <c r="L39" s="42"/>
      <c r="M39" s="42"/>
    </row>
    <row r="40" spans="1:24" ht="16" x14ac:dyDescent="0.35">
      <c r="A40" s="3"/>
      <c r="B40" s="4">
        <v>2019</v>
      </c>
      <c r="C40" s="4">
        <v>2020</v>
      </c>
      <c r="D40" s="4">
        <v>2021</v>
      </c>
      <c r="E40" s="4">
        <v>2022</v>
      </c>
      <c r="F40" s="4">
        <v>2023</v>
      </c>
      <c r="G40" s="4">
        <v>2024</v>
      </c>
      <c r="H40" s="4" t="s">
        <v>90</v>
      </c>
      <c r="I40" s="4">
        <v>2020</v>
      </c>
      <c r="J40" s="4">
        <v>2021</v>
      </c>
      <c r="K40" s="4">
        <v>2022</v>
      </c>
      <c r="L40" s="4">
        <v>2023</v>
      </c>
      <c r="M40" s="4">
        <v>2024</v>
      </c>
      <c r="N40" s="4" t="s">
        <v>92</v>
      </c>
    </row>
    <row r="41" spans="1:24" ht="16" x14ac:dyDescent="0.35">
      <c r="A41" s="3" t="s">
        <v>4</v>
      </c>
      <c r="B41" s="5">
        <v>380821312</v>
      </c>
      <c r="C41" s="5">
        <v>235217335</v>
      </c>
      <c r="D41" s="5">
        <v>404794130</v>
      </c>
      <c r="E41" s="5">
        <v>556090139</v>
      </c>
      <c r="F41" s="5">
        <v>709144911</v>
      </c>
      <c r="G41" s="5">
        <v>782033235</v>
      </c>
      <c r="H41" s="9">
        <f>+G41/$G$41</f>
        <v>1</v>
      </c>
      <c r="I41" s="9">
        <f>+C41/B41-1</f>
        <v>-0.38234198667956898</v>
      </c>
      <c r="J41" s="9">
        <f t="shared" ref="J41:M41" si="31">+D41/C41-1</f>
        <v>0.7209366392999903</v>
      </c>
      <c r="K41" s="9">
        <f t="shared" si="31"/>
        <v>0.37376038283954371</v>
      </c>
      <c r="L41" s="9">
        <f t="shared" si="31"/>
        <v>0.27523374587298699</v>
      </c>
      <c r="M41" s="9">
        <f t="shared" si="31"/>
        <v>0.10278339852600316</v>
      </c>
      <c r="N41" s="9">
        <f>+AVERAGE(I41:M41)</f>
        <v>0.21807443597179105</v>
      </c>
    </row>
    <row r="42" spans="1:24" ht="16" x14ac:dyDescent="0.35">
      <c r="A42" s="3" t="s">
        <v>5</v>
      </c>
      <c r="B42" s="5">
        <v>157887922</v>
      </c>
      <c r="C42" s="5">
        <v>100682030</v>
      </c>
      <c r="D42" s="5">
        <v>165620576</v>
      </c>
      <c r="E42" s="5">
        <v>253499905</v>
      </c>
      <c r="F42" s="5">
        <v>320603753</v>
      </c>
      <c r="G42" s="5">
        <v>341162075</v>
      </c>
      <c r="H42" s="9">
        <f>+G42/$G$41</f>
        <v>0.43625009747827403</v>
      </c>
      <c r="I42" s="9">
        <f t="shared" ref="I42:I53" si="32">+C42/B42-1</f>
        <v>-0.36231962062303913</v>
      </c>
      <c r="J42" s="9">
        <f t="shared" ref="J42:J53" si="33">+D42/C42-1</f>
        <v>0.64498645885467343</v>
      </c>
      <c r="K42" s="9">
        <f t="shared" ref="K42:K54" si="34">+E42/D42-1</f>
        <v>0.53060634809046925</v>
      </c>
      <c r="L42" s="9">
        <f t="shared" ref="L42:L54" si="35">+F42/E42-1</f>
        <v>0.26470955876689573</v>
      </c>
      <c r="M42" s="9">
        <f t="shared" ref="M42:M54" si="36">+G42/F42-1</f>
        <v>6.4123772125649348E-2</v>
      </c>
      <c r="N42" s="9">
        <f t="shared" ref="N42:N53" si="37">+AVERAGE(I42:M42)</f>
        <v>0.22842130344292974</v>
      </c>
    </row>
    <row r="43" spans="1:24" ht="16" x14ac:dyDescent="0.35">
      <c r="A43" s="2" t="s">
        <v>6</v>
      </c>
      <c r="B43" s="6">
        <f>+B41-B42</f>
        <v>222933390</v>
      </c>
      <c r="C43" s="6">
        <f t="shared" ref="C43:G43" si="38">+C41-C42</f>
        <v>134535305</v>
      </c>
      <c r="D43" s="6">
        <f t="shared" si="38"/>
        <v>239173554</v>
      </c>
      <c r="E43" s="6">
        <f t="shared" si="38"/>
        <v>302590234</v>
      </c>
      <c r="F43" s="6">
        <f t="shared" si="38"/>
        <v>388541158</v>
      </c>
      <c r="G43" s="6">
        <f t="shared" si="38"/>
        <v>440871160</v>
      </c>
      <c r="H43" s="18">
        <f>+G43/$G$41</f>
        <v>0.56374990252172597</v>
      </c>
      <c r="I43" s="18">
        <f t="shared" si="32"/>
        <v>-0.39652240967582286</v>
      </c>
      <c r="J43" s="18">
        <f t="shared" si="33"/>
        <v>0.77777538765753729</v>
      </c>
      <c r="K43" s="18">
        <f t="shared" si="34"/>
        <v>0.26514921461592689</v>
      </c>
      <c r="L43" s="18">
        <f t="shared" si="35"/>
        <v>0.28405055531303103</v>
      </c>
      <c r="M43" s="18">
        <f t="shared" si="36"/>
        <v>0.13468329139020074</v>
      </c>
      <c r="N43" s="18">
        <f t="shared" si="37"/>
        <v>0.21302720786017462</v>
      </c>
    </row>
    <row r="44" spans="1:24" ht="16" x14ac:dyDescent="0.35">
      <c r="A44" s="3" t="s">
        <v>7</v>
      </c>
      <c r="B44" s="5">
        <v>2062078</v>
      </c>
      <c r="C44" s="5">
        <v>13432626</v>
      </c>
      <c r="D44" s="5">
        <v>3855150</v>
      </c>
      <c r="E44" s="5">
        <v>15128529</v>
      </c>
      <c r="F44" s="5">
        <v>5560782</v>
      </c>
      <c r="G44" s="5">
        <v>7290250</v>
      </c>
      <c r="H44" s="9">
        <f t="shared" ref="H44:H57" si="39">+G44/$G$41</f>
        <v>9.3221741400798652E-3</v>
      </c>
      <c r="I44" s="9">
        <f t="shared" si="32"/>
        <v>5.5141211923118334</v>
      </c>
      <c r="J44" s="9">
        <f t="shared" si="33"/>
        <v>-0.7130010170758867</v>
      </c>
      <c r="K44" s="9">
        <f t="shared" si="34"/>
        <v>2.9242387455741023</v>
      </c>
      <c r="L44" s="9">
        <f t="shared" si="35"/>
        <v>-0.63243075384262415</v>
      </c>
      <c r="M44" s="9">
        <f t="shared" si="36"/>
        <v>0.31101165267762698</v>
      </c>
      <c r="N44" s="9">
        <f t="shared" si="37"/>
        <v>1.4807879639290102</v>
      </c>
    </row>
    <row r="45" spans="1:24" ht="16" x14ac:dyDescent="0.35">
      <c r="A45" s="3" t="s">
        <v>8</v>
      </c>
      <c r="B45" s="5">
        <v>147669767</v>
      </c>
      <c r="C45" s="5">
        <v>115369016</v>
      </c>
      <c r="D45" s="5">
        <v>161315322</v>
      </c>
      <c r="E45" s="5">
        <v>215513219</v>
      </c>
      <c r="F45" s="5">
        <v>269646079</v>
      </c>
      <c r="G45" s="5">
        <v>304322201</v>
      </c>
      <c r="H45" s="9">
        <f t="shared" si="39"/>
        <v>0.38914228626101804</v>
      </c>
      <c r="I45" s="9">
        <f t="shared" si="32"/>
        <v>-0.21873638495007575</v>
      </c>
      <c r="J45" s="9">
        <f t="shared" si="33"/>
        <v>0.39825516064035771</v>
      </c>
      <c r="K45" s="9">
        <f t="shared" si="34"/>
        <v>0.33597488650210172</v>
      </c>
      <c r="L45" s="9">
        <f t="shared" si="35"/>
        <v>0.25118115840495148</v>
      </c>
      <c r="M45" s="9">
        <f t="shared" si="36"/>
        <v>0.12859865097463552</v>
      </c>
      <c r="N45" s="9">
        <f t="shared" si="37"/>
        <v>0.17905469431439414</v>
      </c>
    </row>
    <row r="46" spans="1:24" ht="16" x14ac:dyDescent="0.35">
      <c r="A46" s="3" t="s">
        <v>9</v>
      </c>
      <c r="B46" s="5">
        <v>23348138</v>
      </c>
      <c r="C46" s="5">
        <v>19094759</v>
      </c>
      <c r="D46" s="5">
        <v>24521903</v>
      </c>
      <c r="E46" s="5">
        <v>27860007</v>
      </c>
      <c r="F46" s="5">
        <v>34478706</v>
      </c>
      <c r="G46" s="5">
        <v>39516978</v>
      </c>
      <c r="H46" s="9">
        <f t="shared" si="39"/>
        <v>5.0531072378273027E-2</v>
      </c>
      <c r="I46" s="9">
        <f t="shared" si="32"/>
        <v>-0.18217208584256273</v>
      </c>
      <c r="J46" s="9">
        <f t="shared" si="33"/>
        <v>0.2842216547483003</v>
      </c>
      <c r="K46" s="9">
        <f t="shared" si="34"/>
        <v>0.13612744492138318</v>
      </c>
      <c r="L46" s="9">
        <f t="shared" si="35"/>
        <v>0.23756989723656563</v>
      </c>
      <c r="M46" s="9">
        <f t="shared" si="36"/>
        <v>0.14612706172905687</v>
      </c>
      <c r="N46" s="9">
        <f t="shared" si="37"/>
        <v>0.12437479455854865</v>
      </c>
    </row>
    <row r="47" spans="1:24" ht="16" x14ac:dyDescent="0.35">
      <c r="A47" s="3" t="s">
        <v>10</v>
      </c>
      <c r="B47" s="5">
        <v>9564967</v>
      </c>
      <c r="C47" s="5">
        <v>12999159</v>
      </c>
      <c r="D47" s="5">
        <v>11134406</v>
      </c>
      <c r="E47" s="5">
        <v>12711241</v>
      </c>
      <c r="F47" s="5">
        <v>13707818</v>
      </c>
      <c r="G47" s="5">
        <v>14113169</v>
      </c>
      <c r="H47" s="9">
        <f t="shared" si="39"/>
        <v>1.8046763703079702E-2</v>
      </c>
      <c r="I47" s="9">
        <f t="shared" si="32"/>
        <v>0.35903856228672826</v>
      </c>
      <c r="J47" s="9">
        <f t="shared" si="33"/>
        <v>-0.1434518186907322</v>
      </c>
      <c r="K47" s="9">
        <f t="shared" si="34"/>
        <v>0.1416182416915639</v>
      </c>
      <c r="L47" s="9">
        <f t="shared" si="35"/>
        <v>7.8401235567793881E-2</v>
      </c>
      <c r="M47" s="9">
        <f t="shared" si="36"/>
        <v>2.9570789457519897E-2</v>
      </c>
      <c r="N47" s="9">
        <f t="shared" si="37"/>
        <v>9.303540206257474E-2</v>
      </c>
    </row>
    <row r="48" spans="1:24" ht="16" x14ac:dyDescent="0.35">
      <c r="A48" s="3" t="s">
        <v>11</v>
      </c>
      <c r="B48" s="5"/>
      <c r="C48" s="5"/>
      <c r="D48" s="5">
        <v>-683996</v>
      </c>
      <c r="E48" s="5"/>
      <c r="F48" s="5"/>
      <c r="G48" s="5"/>
      <c r="H48" s="9">
        <f t="shared" si="39"/>
        <v>0</v>
      </c>
      <c r="I48" s="9"/>
      <c r="J48" s="9"/>
      <c r="K48" s="9"/>
      <c r="L48" s="9"/>
      <c r="M48" s="9"/>
      <c r="N48" s="9"/>
    </row>
    <row r="49" spans="1:16" ht="16" x14ac:dyDescent="0.35">
      <c r="A49" s="2" t="s">
        <v>12</v>
      </c>
      <c r="B49" s="6">
        <f>+B43+B44-B45-B46-B47+B48</f>
        <v>44412596</v>
      </c>
      <c r="C49" s="6">
        <f t="shared" ref="C49:G49" si="40">+C43+C44-C45-C46-C47+C48</f>
        <v>504997</v>
      </c>
      <c r="D49" s="6">
        <f t="shared" si="40"/>
        <v>45373077</v>
      </c>
      <c r="E49" s="6">
        <f t="shared" si="40"/>
        <v>61634296</v>
      </c>
      <c r="F49" s="6">
        <f t="shared" si="40"/>
        <v>76269337</v>
      </c>
      <c r="G49" s="6">
        <f t="shared" si="40"/>
        <v>90209062</v>
      </c>
      <c r="H49" s="18">
        <f t="shared" si="39"/>
        <v>0.11535195431943503</v>
      </c>
      <c r="I49" s="20">
        <f t="shared" si="32"/>
        <v>-0.98862941945568772</v>
      </c>
      <c r="J49" s="20">
        <f t="shared" si="33"/>
        <v>88.848210979471162</v>
      </c>
      <c r="K49" s="19">
        <f t="shared" si="34"/>
        <v>0.35838916104367358</v>
      </c>
      <c r="L49" s="19">
        <f t="shared" si="35"/>
        <v>0.23744963356115889</v>
      </c>
      <c r="M49" s="19">
        <f t="shared" si="36"/>
        <v>0.18276971517400242</v>
      </c>
      <c r="N49" s="19">
        <f>+AVERAGE(K49:M49)</f>
        <v>0.25953616992627832</v>
      </c>
    </row>
    <row r="50" spans="1:16" ht="16" x14ac:dyDescent="0.35">
      <c r="A50" s="3" t="s">
        <v>13</v>
      </c>
      <c r="B50" s="5">
        <v>376431</v>
      </c>
      <c r="C50" s="5">
        <v>1532020</v>
      </c>
      <c r="D50" s="5">
        <v>1512106</v>
      </c>
      <c r="E50" s="5">
        <v>7592851</v>
      </c>
      <c r="F50" s="5">
        <v>2808638</v>
      </c>
      <c r="G50" s="5">
        <v>5985087</v>
      </c>
      <c r="H50" s="9">
        <f t="shared" si="39"/>
        <v>7.6532386759751965E-3</v>
      </c>
      <c r="I50" s="9"/>
      <c r="J50" s="9"/>
      <c r="K50" s="9"/>
      <c r="L50" s="9"/>
      <c r="M50" s="9"/>
      <c r="N50" s="9"/>
    </row>
    <row r="51" spans="1:16" ht="16" x14ac:dyDescent="0.35">
      <c r="A51" s="3" t="s">
        <v>14</v>
      </c>
      <c r="B51" s="5">
        <v>4598873</v>
      </c>
      <c r="C51" s="5">
        <v>4997282</v>
      </c>
      <c r="D51" s="5">
        <v>6707993</v>
      </c>
      <c r="E51" s="5">
        <v>9879978</v>
      </c>
      <c r="F51" s="5">
        <v>21157763</v>
      </c>
      <c r="G51" s="5">
        <v>15660641</v>
      </c>
      <c r="H51" s="9">
        <f t="shared" si="39"/>
        <v>2.0025544055042623E-2</v>
      </c>
      <c r="I51" s="9">
        <f t="shared" si="32"/>
        <v>8.663187698377417E-2</v>
      </c>
      <c r="J51" s="9">
        <f t="shared" si="33"/>
        <v>0.34232828965825823</v>
      </c>
      <c r="K51" s="9">
        <f t="shared" si="34"/>
        <v>0.4728664743687121</v>
      </c>
      <c r="L51" s="9">
        <f t="shared" si="35"/>
        <v>1.1414787563292146</v>
      </c>
      <c r="M51" s="9">
        <f t="shared" si="36"/>
        <v>-0.2598158415896803</v>
      </c>
      <c r="N51" s="9">
        <f t="shared" si="37"/>
        <v>0.35669791115005578</v>
      </c>
    </row>
    <row r="52" spans="1:16" ht="16" x14ac:dyDescent="0.35">
      <c r="A52" s="2" t="s">
        <v>15</v>
      </c>
      <c r="B52" s="6">
        <f>+B49+B50-B51</f>
        <v>40190154</v>
      </c>
      <c r="C52" s="6">
        <f t="shared" ref="C52:G52" si="41">+C49+C50-C51</f>
        <v>-2960265</v>
      </c>
      <c r="D52" s="6">
        <f t="shared" si="41"/>
        <v>40177190</v>
      </c>
      <c r="E52" s="6">
        <f t="shared" si="41"/>
        <v>59347169</v>
      </c>
      <c r="F52" s="6">
        <f t="shared" si="41"/>
        <v>57920212</v>
      </c>
      <c r="G52" s="6">
        <f t="shared" si="41"/>
        <v>80533508</v>
      </c>
      <c r="H52" s="18">
        <f t="shared" si="39"/>
        <v>0.10297964894036761</v>
      </c>
      <c r="I52" s="20">
        <f t="shared" ref="I52" si="42">+C52/B52-1</f>
        <v>-1.0736564731749971</v>
      </c>
      <c r="J52" s="20">
        <f t="shared" ref="J52" si="43">+D52/C52-1</f>
        <v>-14.57215992487159</v>
      </c>
      <c r="K52" s="19">
        <f t="shared" si="34"/>
        <v>0.4771358823252696</v>
      </c>
      <c r="L52" s="19">
        <f t="shared" si="35"/>
        <v>-2.4044230315349968E-2</v>
      </c>
      <c r="M52" s="19">
        <f t="shared" si="36"/>
        <v>0.39042149914782764</v>
      </c>
      <c r="N52" s="19">
        <f>+AVERAGE(K52:M52)</f>
        <v>0.28117105038591578</v>
      </c>
    </row>
    <row r="53" spans="1:16" ht="16" x14ac:dyDescent="0.35">
      <c r="A53" s="3" t="s">
        <v>16</v>
      </c>
      <c r="B53" s="5">
        <v>9811699</v>
      </c>
      <c r="C53" s="5">
        <v>2838985</v>
      </c>
      <c r="D53" s="5">
        <v>13587499</v>
      </c>
      <c r="E53" s="5">
        <v>20383371</v>
      </c>
      <c r="F53" s="5">
        <v>19439249</v>
      </c>
      <c r="G53" s="5">
        <v>31252041</v>
      </c>
      <c r="H53" s="9">
        <f t="shared" si="39"/>
        <v>3.9962548394762279E-2</v>
      </c>
      <c r="I53" s="9">
        <f t="shared" si="32"/>
        <v>-0.71065306834219033</v>
      </c>
      <c r="J53" s="9">
        <f t="shared" si="33"/>
        <v>3.786041137941905</v>
      </c>
      <c r="K53" s="9">
        <f t="shared" si="34"/>
        <v>0.50015620976310649</v>
      </c>
      <c r="L53" s="9">
        <f t="shared" si="35"/>
        <v>-4.6318246378383665E-2</v>
      </c>
      <c r="M53" s="9">
        <f t="shared" si="36"/>
        <v>0.60767738506770508</v>
      </c>
      <c r="N53" s="9">
        <f t="shared" si="37"/>
        <v>0.82738068361042849</v>
      </c>
    </row>
    <row r="54" spans="1:16" ht="16" x14ac:dyDescent="0.35">
      <c r="A54" s="2" t="s">
        <v>17</v>
      </c>
      <c r="B54" s="6">
        <f>+B52-B53</f>
        <v>30378455</v>
      </c>
      <c r="C54" s="6">
        <f t="shared" ref="C54:G54" si="44">+C52-C53</f>
        <v>-5799250</v>
      </c>
      <c r="D54" s="6">
        <f t="shared" si="44"/>
        <v>26589691</v>
      </c>
      <c r="E54" s="6">
        <f t="shared" si="44"/>
        <v>38963798</v>
      </c>
      <c r="F54" s="6">
        <f t="shared" si="44"/>
        <v>38480963</v>
      </c>
      <c r="G54" s="6">
        <f t="shared" si="44"/>
        <v>49281467</v>
      </c>
      <c r="H54" s="18">
        <f t="shared" si="39"/>
        <v>6.3017100545605331E-2</v>
      </c>
      <c r="I54" s="20">
        <f t="shared" ref="I54" si="45">+C54/B54-1</f>
        <v>-1.1909000967955743</v>
      </c>
      <c r="J54" s="20">
        <f t="shared" ref="J54" si="46">+D54/C54-1</f>
        <v>-5.5850223735827909</v>
      </c>
      <c r="K54" s="19">
        <f t="shared" si="34"/>
        <v>0.46537235050982728</v>
      </c>
      <c r="L54" s="19">
        <f t="shared" si="35"/>
        <v>-1.2391887464358597E-2</v>
      </c>
      <c r="M54" s="19">
        <f t="shared" si="36"/>
        <v>0.28067135430056678</v>
      </c>
      <c r="N54" s="19">
        <f>+AVERAGE(K54:M54)</f>
        <v>0.24455060578201182</v>
      </c>
    </row>
    <row r="55" spans="1:16" ht="16" x14ac:dyDescent="0.35">
      <c r="A55" s="3"/>
    </row>
    <row r="56" spans="1:16" ht="16" x14ac:dyDescent="0.35">
      <c r="A56" s="7" t="s">
        <v>50</v>
      </c>
      <c r="B56" s="5">
        <v>8029227</v>
      </c>
      <c r="C56" s="5">
        <v>9157499</v>
      </c>
      <c r="D56" s="5">
        <v>10295516</v>
      </c>
      <c r="E56" s="5">
        <v>10456962</v>
      </c>
      <c r="F56" s="5">
        <v>10788407</v>
      </c>
      <c r="G56" s="5">
        <v>11879496</v>
      </c>
      <c r="H56" s="9">
        <f t="shared" si="39"/>
        <v>1.5190525758154E-2</v>
      </c>
      <c r="I56" s="9">
        <f t="shared" ref="I56:I57" si="47">+C56/B56-1</f>
        <v>0.14052062545996025</v>
      </c>
      <c r="J56" s="9">
        <f t="shared" ref="J56:J57" si="48">+D56/C56-1</f>
        <v>0.12427159424205225</v>
      </c>
      <c r="K56" s="9">
        <f t="shared" ref="K56:K57" si="49">+E56/D56-1</f>
        <v>1.5681195580677931E-2</v>
      </c>
      <c r="L56" s="9">
        <f t="shared" ref="L56:L57" si="50">+F56/E56-1</f>
        <v>3.1696108296080716E-2</v>
      </c>
      <c r="M56" s="9">
        <f t="shared" ref="M56:M57" si="51">+G56/F56-1</f>
        <v>0.10113532053434771</v>
      </c>
      <c r="N56" s="9">
        <f t="shared" ref="N56" si="52">+AVERAGE(I56:M56)</f>
        <v>8.2660968822623776E-2</v>
      </c>
    </row>
    <row r="57" spans="1:16" ht="16" x14ac:dyDescent="0.35">
      <c r="A57" s="7" t="s">
        <v>51</v>
      </c>
      <c r="B57" s="6">
        <f>+B49+B56</f>
        <v>52441823</v>
      </c>
      <c r="C57" s="6">
        <f t="shared" ref="C57:E57" si="53">+C49+C56</f>
        <v>9662496</v>
      </c>
      <c r="D57" s="6">
        <f t="shared" si="53"/>
        <v>55668593</v>
      </c>
      <c r="E57" s="6">
        <f t="shared" si="53"/>
        <v>72091258</v>
      </c>
      <c r="F57" s="6">
        <f>+F49+F56</f>
        <v>87057744</v>
      </c>
      <c r="G57" s="6">
        <f t="shared" ref="G57" si="54">+G49+G56</f>
        <v>102088558</v>
      </c>
      <c r="H57" s="18">
        <f t="shared" si="39"/>
        <v>0.13054248007758903</v>
      </c>
      <c r="I57" s="20">
        <f t="shared" si="47"/>
        <v>-0.81574828167205404</v>
      </c>
      <c r="J57" s="20">
        <f t="shared" si="48"/>
        <v>4.7613056709156725</v>
      </c>
      <c r="K57" s="18">
        <f t="shared" si="49"/>
        <v>0.29500772545122533</v>
      </c>
      <c r="L57" s="18">
        <f t="shared" si="50"/>
        <v>0.20760472788531437</v>
      </c>
      <c r="M57" s="18">
        <f t="shared" si="51"/>
        <v>0.17265338279383857</v>
      </c>
      <c r="N57" s="18">
        <f>+AVERAGE(K57:M57)</f>
        <v>0.22508861204345942</v>
      </c>
    </row>
    <row r="59" spans="1:16" ht="16" x14ac:dyDescent="0.35">
      <c r="A59" s="3" t="s">
        <v>52</v>
      </c>
      <c r="C59" s="5">
        <f>+B35+C54-C35-IF(C34&gt;B34,C34-B34,0)</f>
        <v>0</v>
      </c>
      <c r="D59" s="5">
        <f t="shared" ref="D59:G59" si="55">+C35+D54-D35-IF(D34&gt;C34,D34-C34,0)</f>
        <v>7219396</v>
      </c>
      <c r="E59" s="5">
        <f t="shared" si="55"/>
        <v>75126682</v>
      </c>
      <c r="F59" s="5">
        <f t="shared" si="55"/>
        <v>15660000</v>
      </c>
      <c r="G59" s="5">
        <f t="shared" si="55"/>
        <v>30000000</v>
      </c>
      <c r="H59" s="3" t="s">
        <v>53</v>
      </c>
      <c r="I59" s="3"/>
      <c r="J59" s="3"/>
      <c r="K59" s="3"/>
      <c r="L59" s="3"/>
      <c r="M59" s="3"/>
      <c r="N59" s="3"/>
      <c r="O59" s="3"/>
      <c r="P59" s="3"/>
    </row>
    <row r="61" spans="1:16" ht="16" x14ac:dyDescent="0.35">
      <c r="A61" s="3"/>
      <c r="B61" s="4">
        <v>2019</v>
      </c>
      <c r="C61" s="4">
        <v>2020</v>
      </c>
      <c r="D61" s="4">
        <v>2021</v>
      </c>
      <c r="E61" s="4">
        <v>2022</v>
      </c>
      <c r="F61" s="4">
        <v>2023</v>
      </c>
      <c r="G61" s="4">
        <v>2024</v>
      </c>
    </row>
    <row r="62" spans="1:16" ht="16" x14ac:dyDescent="0.35">
      <c r="A62" s="3" t="s">
        <v>54</v>
      </c>
      <c r="B62" s="9">
        <f>+B43/B41</f>
        <v>0.58540155966901353</v>
      </c>
      <c r="C62" s="9">
        <f t="shared" ref="C62:G62" si="56">+C43/C41</f>
        <v>0.5719616923642129</v>
      </c>
      <c r="D62" s="9">
        <f t="shared" si="56"/>
        <v>0.59085232782402253</v>
      </c>
      <c r="E62" s="9">
        <f t="shared" si="56"/>
        <v>0.54413882350825138</v>
      </c>
      <c r="F62" s="9">
        <f t="shared" si="56"/>
        <v>0.54790093247951122</v>
      </c>
      <c r="G62" s="9">
        <f t="shared" si="56"/>
        <v>0.56374990252172597</v>
      </c>
    </row>
    <row r="63" spans="1:16" ht="16" x14ac:dyDescent="0.35">
      <c r="A63" s="3" t="s">
        <v>55</v>
      </c>
      <c r="B63" s="9">
        <f>+B49/B41</f>
        <v>0.11662318940805498</v>
      </c>
      <c r="C63" s="9">
        <f t="shared" ref="C63:G63" si="57">+C49/C41</f>
        <v>2.1469378521782843E-3</v>
      </c>
      <c r="D63" s="9">
        <f t="shared" si="57"/>
        <v>0.11208926621539694</v>
      </c>
      <c r="E63" s="9">
        <f t="shared" si="57"/>
        <v>0.11083508172044748</v>
      </c>
      <c r="F63" s="9">
        <f t="shared" si="57"/>
        <v>0.10755113068843555</v>
      </c>
      <c r="G63" s="9">
        <f t="shared" si="57"/>
        <v>0.11535195431943503</v>
      </c>
    </row>
    <row r="64" spans="1:16" ht="16" x14ac:dyDescent="0.35">
      <c r="A64" s="3" t="s">
        <v>56</v>
      </c>
      <c r="B64" s="9">
        <f>+B57/B41</f>
        <v>0.137707164351138</v>
      </c>
      <c r="C64" s="9">
        <f t="shared" ref="C64:G64" si="58">+C57/C41</f>
        <v>4.1079013160318305E-2</v>
      </c>
      <c r="D64" s="9">
        <f t="shared" si="58"/>
        <v>0.13752322198940978</v>
      </c>
      <c r="E64" s="9">
        <f t="shared" si="58"/>
        <v>0.12963951874715765</v>
      </c>
      <c r="F64" s="9">
        <f t="shared" si="58"/>
        <v>0.12276439222730318</v>
      </c>
      <c r="G64" s="9">
        <f t="shared" si="58"/>
        <v>0.13054248007758903</v>
      </c>
    </row>
    <row r="65" spans="1:7" ht="16" x14ac:dyDescent="0.35">
      <c r="A65" s="3" t="s">
        <v>57</v>
      </c>
      <c r="B65" s="9">
        <f>+B54/B41</f>
        <v>7.9770890028339592E-2</v>
      </c>
      <c r="C65" s="9">
        <f t="shared" ref="C65:G65" si="59">+C54/C41</f>
        <v>-2.4654858027364352E-2</v>
      </c>
      <c r="D65" s="9">
        <f t="shared" si="59"/>
        <v>6.5686948079014887E-2</v>
      </c>
      <c r="E65" s="9">
        <f t="shared" si="59"/>
        <v>7.0067414016848809E-2</v>
      </c>
      <c r="F65" s="9">
        <f t="shared" si="59"/>
        <v>5.4263892193396841E-2</v>
      </c>
      <c r="G65" s="9">
        <f t="shared" si="59"/>
        <v>6.3017100545605331E-2</v>
      </c>
    </row>
    <row r="67" spans="1:7" ht="16" x14ac:dyDescent="0.4">
      <c r="A67" s="11"/>
      <c r="B67" s="4">
        <v>2019</v>
      </c>
      <c r="C67" s="4">
        <v>2020</v>
      </c>
      <c r="D67" s="4">
        <v>2021</v>
      </c>
      <c r="E67" s="4">
        <v>2022</v>
      </c>
      <c r="F67" s="4">
        <v>2023</v>
      </c>
      <c r="G67" s="4">
        <v>2024</v>
      </c>
    </row>
    <row r="68" spans="1:7" ht="16" x14ac:dyDescent="0.35">
      <c r="A68" s="3" t="s">
        <v>58</v>
      </c>
      <c r="B68" s="5">
        <f>+B25</f>
        <v>895168</v>
      </c>
      <c r="C68" s="5">
        <f t="shared" ref="C68:G68" si="60">+C25</f>
        <v>2373473</v>
      </c>
      <c r="D68" s="5">
        <f t="shared" si="60"/>
        <v>1585180</v>
      </c>
      <c r="E68" s="5">
        <f t="shared" si="60"/>
        <v>10416312</v>
      </c>
      <c r="F68" s="5">
        <f t="shared" si="60"/>
        <v>294146</v>
      </c>
      <c r="G68" s="5">
        <f t="shared" si="60"/>
        <v>1496479</v>
      </c>
    </row>
    <row r="69" spans="1:7" ht="16" x14ac:dyDescent="0.35">
      <c r="A69" s="3" t="s">
        <v>59</v>
      </c>
      <c r="B69" s="5">
        <f>+B30</f>
        <v>37562197</v>
      </c>
      <c r="C69" s="5">
        <f t="shared" ref="C69:G69" si="61">+C30</f>
        <v>60447463</v>
      </c>
      <c r="D69" s="5">
        <f t="shared" si="61"/>
        <v>51283249</v>
      </c>
      <c r="E69" s="5">
        <f t="shared" si="61"/>
        <v>81552899</v>
      </c>
      <c r="F69" s="5">
        <f t="shared" si="61"/>
        <v>80795722</v>
      </c>
      <c r="G69" s="5">
        <f t="shared" si="61"/>
        <v>67728809</v>
      </c>
    </row>
    <row r="70" spans="1:7" ht="16" x14ac:dyDescent="0.35">
      <c r="A70" s="7" t="s">
        <v>60</v>
      </c>
      <c r="B70" s="6">
        <f>SUM(B68:B69)</f>
        <v>38457365</v>
      </c>
      <c r="C70" s="6">
        <f t="shared" ref="C70:G70" si="62">SUM(C68:C69)</f>
        <v>62820936</v>
      </c>
      <c r="D70" s="6">
        <f t="shared" si="62"/>
        <v>52868429</v>
      </c>
      <c r="E70" s="6">
        <f t="shared" si="62"/>
        <v>91969211</v>
      </c>
      <c r="F70" s="6">
        <f t="shared" si="62"/>
        <v>81089868</v>
      </c>
      <c r="G70" s="6">
        <f t="shared" si="62"/>
        <v>69225288</v>
      </c>
    </row>
    <row r="71" spans="1:7" ht="16" x14ac:dyDescent="0.35">
      <c r="A71" s="10" t="s">
        <v>61</v>
      </c>
      <c r="B71" s="5">
        <f>+B51</f>
        <v>4598873</v>
      </c>
      <c r="C71" s="5">
        <f t="shared" ref="C71:G71" si="63">+C51</f>
        <v>4997282</v>
      </c>
      <c r="D71" s="5">
        <f t="shared" si="63"/>
        <v>6707993</v>
      </c>
      <c r="E71" s="5">
        <f t="shared" si="63"/>
        <v>9879978</v>
      </c>
      <c r="F71" s="5">
        <f t="shared" si="63"/>
        <v>21157763</v>
      </c>
      <c r="G71" s="5">
        <f t="shared" si="63"/>
        <v>15660641</v>
      </c>
    </row>
    <row r="72" spans="1:7" ht="16" x14ac:dyDescent="0.35">
      <c r="A72" s="10" t="s">
        <v>62</v>
      </c>
      <c r="B72" s="9">
        <f>+B71/B70</f>
        <v>0.1195836740244684</v>
      </c>
      <c r="C72" s="9">
        <f t="shared" ref="C72:G72" si="64">+C71/C70</f>
        <v>7.9548034750707944E-2</v>
      </c>
      <c r="D72" s="9">
        <f t="shared" si="64"/>
        <v>0.12688088386360033</v>
      </c>
      <c r="E72" s="9">
        <f t="shared" si="64"/>
        <v>0.1074270170698757</v>
      </c>
      <c r="F72" s="9">
        <f t="shared" si="64"/>
        <v>0.26091746751887673</v>
      </c>
      <c r="G72" s="9">
        <f t="shared" si="64"/>
        <v>0.22622717004803217</v>
      </c>
    </row>
    <row r="74" spans="1:7" ht="16" x14ac:dyDescent="0.35">
      <c r="A74" s="10" t="s">
        <v>63</v>
      </c>
      <c r="B74" s="5">
        <f t="shared" ref="B74:G74" si="65">+B14+B16</f>
        <v>107514790</v>
      </c>
      <c r="C74" s="5">
        <f t="shared" si="65"/>
        <v>105540393</v>
      </c>
      <c r="D74" s="5">
        <f t="shared" si="65"/>
        <v>109190039</v>
      </c>
      <c r="E74" s="5">
        <f t="shared" si="65"/>
        <v>112734510</v>
      </c>
      <c r="F74" s="5">
        <f t="shared" si="65"/>
        <v>126960930</v>
      </c>
      <c r="G74" s="5">
        <f t="shared" si="65"/>
        <v>133117589</v>
      </c>
    </row>
    <row r="76" spans="1:7" ht="16" x14ac:dyDescent="0.35">
      <c r="B76" s="4">
        <v>2019</v>
      </c>
      <c r="C76" s="4">
        <v>2020</v>
      </c>
      <c r="D76" s="4">
        <v>2021</v>
      </c>
      <c r="E76" s="4">
        <v>2022</v>
      </c>
      <c r="F76" s="4">
        <v>2023</v>
      </c>
      <c r="G76" s="4">
        <v>2024</v>
      </c>
    </row>
    <row r="77" spans="1:7" ht="16" x14ac:dyDescent="0.35">
      <c r="A77" s="10" t="s">
        <v>64</v>
      </c>
      <c r="B77" s="8">
        <f>+B9/B41</f>
        <v>3.0063887285804003E-2</v>
      </c>
      <c r="C77" s="8">
        <f t="shared" ref="C77:G77" si="66">+C9/C41</f>
        <v>4.7257116487609212E-2</v>
      </c>
      <c r="D77" s="8">
        <f t="shared" si="66"/>
        <v>4.4468688318182875E-2</v>
      </c>
      <c r="E77" s="8">
        <f t="shared" si="66"/>
        <v>4.8616087759829889E-2</v>
      </c>
      <c r="F77" s="8">
        <f t="shared" si="66"/>
        <v>3.9785525584911094E-2</v>
      </c>
      <c r="G77" s="8">
        <f t="shared" si="66"/>
        <v>3.7854135444767893E-2</v>
      </c>
    </row>
    <row r="78" spans="1:7" ht="16" x14ac:dyDescent="0.35">
      <c r="A78" s="10" t="s">
        <v>65</v>
      </c>
      <c r="B78" s="8">
        <f>+B8/B41</f>
        <v>3.6285731823748352E-3</v>
      </c>
      <c r="C78" s="8">
        <f t="shared" ref="C78:G78" si="67">+C8/C41</f>
        <v>1.6930014958293785E-2</v>
      </c>
      <c r="D78" s="8">
        <f t="shared" si="67"/>
        <v>5.1494348497593085E-3</v>
      </c>
      <c r="E78" s="8">
        <f t="shared" si="67"/>
        <v>5.6420025818871783E-3</v>
      </c>
      <c r="F78" s="8">
        <f t="shared" si="67"/>
        <v>6.1765175665203353E-3</v>
      </c>
      <c r="G78" s="8">
        <f t="shared" si="67"/>
        <v>7.050137709300807E-3</v>
      </c>
    </row>
    <row r="79" spans="1:7" ht="16" x14ac:dyDescent="0.35">
      <c r="A79" s="10" t="s">
        <v>66</v>
      </c>
      <c r="B79" s="8">
        <f>+B23/B41</f>
        <v>6.7306238365146959E-2</v>
      </c>
      <c r="C79" s="8">
        <f t="shared" ref="C79:G79" si="68">+C23/C41</f>
        <v>0.11300272150434831</v>
      </c>
      <c r="D79" s="8">
        <f t="shared" si="68"/>
        <v>7.4299745897995109E-2</v>
      </c>
      <c r="E79" s="8">
        <f t="shared" si="68"/>
        <v>0.10794375010487284</v>
      </c>
      <c r="F79" s="8">
        <f t="shared" si="68"/>
        <v>5.7971298055327934E-2</v>
      </c>
      <c r="G79" s="8">
        <f t="shared" si="68"/>
        <v>5.4825433346192762E-2</v>
      </c>
    </row>
    <row r="80" spans="1:7" ht="16" x14ac:dyDescent="0.35">
      <c r="A80" s="10" t="s">
        <v>93</v>
      </c>
      <c r="C80" s="8">
        <f>+T32/C41</f>
        <v>2.2645244237632402E-2</v>
      </c>
      <c r="D80" s="8">
        <f t="shared" ref="D80:G80" si="69">+U32/D41</f>
        <v>2.2885724652183075E-2</v>
      </c>
      <c r="E80" s="8">
        <f t="shared" si="69"/>
        <v>9.4348723921536762E-3</v>
      </c>
      <c r="F80" s="8">
        <f t="shared" si="69"/>
        <v>5.0650472763528014E-3</v>
      </c>
      <c r="G80" s="8">
        <f t="shared" si="69"/>
        <v>2.9210548833004521E-3</v>
      </c>
    </row>
    <row r="82" spans="1:7" ht="16" x14ac:dyDescent="0.35">
      <c r="B82" s="4">
        <v>2019</v>
      </c>
      <c r="C82" s="4">
        <v>2020</v>
      </c>
      <c r="D82" s="4">
        <v>2021</v>
      </c>
      <c r="E82" s="4">
        <v>2022</v>
      </c>
      <c r="F82" s="4">
        <v>2023</v>
      </c>
      <c r="G82" s="4">
        <v>2024</v>
      </c>
    </row>
    <row r="83" spans="1:7" ht="16" x14ac:dyDescent="0.35">
      <c r="A83" s="3" t="s">
        <v>94</v>
      </c>
      <c r="B83" s="9">
        <f>+B32/B21</f>
        <v>0.50100148306665149</v>
      </c>
      <c r="C83" s="9">
        <f t="shared" ref="C83:G83" si="70">+C32/C21</f>
        <v>0.5495007119629548</v>
      </c>
      <c r="D83" s="9">
        <f t="shared" si="70"/>
        <v>0.54127470922632692</v>
      </c>
      <c r="E83" s="9">
        <f t="shared" si="70"/>
        <v>0.76502403177750522</v>
      </c>
      <c r="F83" s="9">
        <f t="shared" si="70"/>
        <v>0.68718025203394129</v>
      </c>
      <c r="G83" s="9">
        <f t="shared" si="70"/>
        <v>0.64689609550544058</v>
      </c>
    </row>
    <row r="84" spans="1:7" ht="16" x14ac:dyDescent="0.35">
      <c r="A84" s="3" t="s">
        <v>95</v>
      </c>
      <c r="B84" s="9">
        <f>+B70/B37</f>
        <v>0.1873883684358226</v>
      </c>
      <c r="C84" s="9">
        <f t="shared" ref="C84:G84" si="71">+C70/C37</f>
        <v>0.29294065508052808</v>
      </c>
      <c r="D84" s="9">
        <f t="shared" si="71"/>
        <v>0.24016821723699494</v>
      </c>
      <c r="E84" s="9">
        <f t="shared" si="71"/>
        <v>0.33341031043597508</v>
      </c>
      <c r="F84" s="9">
        <f t="shared" si="71"/>
        <v>0.28944762616044539</v>
      </c>
      <c r="G84" s="9">
        <f t="shared" si="71"/>
        <v>0.22861877594453162</v>
      </c>
    </row>
    <row r="85" spans="1:7" ht="16" x14ac:dyDescent="0.35">
      <c r="A85" s="10" t="s">
        <v>96</v>
      </c>
      <c r="C85" s="21">
        <f>+AVERAGE(B32:C32)/AVERAGE(B36:C36)</f>
        <v>1.1087433136263207</v>
      </c>
      <c r="D85" s="21">
        <f t="shared" ref="D85:G85" si="72">+AVERAGE(C32:D32)/AVERAGE(C36:D36)</f>
        <v>1.1994164215621808</v>
      </c>
      <c r="E85" s="21">
        <f t="shared" si="72"/>
        <v>1.9914710990429134</v>
      </c>
      <c r="F85" s="21">
        <f t="shared" si="72"/>
        <v>2.6469787517316741</v>
      </c>
      <c r="G85" s="21">
        <f t="shared" si="72"/>
        <v>1.9963065641355717</v>
      </c>
    </row>
    <row r="86" spans="1:7" ht="16" x14ac:dyDescent="0.35">
      <c r="A86" s="10" t="s">
        <v>97</v>
      </c>
      <c r="B86" s="21">
        <f>+B49/B51</f>
        <v>9.6572782070737766</v>
      </c>
      <c r="C86" s="21">
        <f t="shared" ref="C86:G86" si="73">+C49/C51</f>
        <v>0.10105433313549245</v>
      </c>
      <c r="D86" s="21">
        <f t="shared" si="73"/>
        <v>6.7640316559662477</v>
      </c>
      <c r="E86" s="21">
        <f t="shared" si="73"/>
        <v>6.2383029597839181</v>
      </c>
      <c r="F86" s="21">
        <f t="shared" si="73"/>
        <v>3.6047921039667568</v>
      </c>
      <c r="G86" s="21">
        <f t="shared" si="73"/>
        <v>5.7602407206703736</v>
      </c>
    </row>
    <row r="87" spans="1:7" ht="16" x14ac:dyDescent="0.35">
      <c r="A87" s="10" t="s">
        <v>98</v>
      </c>
      <c r="B87" s="21">
        <f>+B57/B51</f>
        <v>11.403190085918876</v>
      </c>
      <c r="C87" s="21">
        <f t="shared" ref="C87:G87" si="74">+C57/C51</f>
        <v>1.9335502779310834</v>
      </c>
      <c r="D87" s="21">
        <f t="shared" si="74"/>
        <v>8.2988448258666931</v>
      </c>
      <c r="E87" s="21">
        <f t="shared" si="74"/>
        <v>7.2967022801062917</v>
      </c>
      <c r="F87" s="21">
        <f t="shared" si="74"/>
        <v>4.1146951121439441</v>
      </c>
      <c r="G87" s="21">
        <f t="shared" si="74"/>
        <v>6.5187981769073184</v>
      </c>
    </row>
    <row r="88" spans="1:7" ht="16" x14ac:dyDescent="0.35">
      <c r="A88" s="10" t="s">
        <v>99</v>
      </c>
      <c r="B88" s="9">
        <f>+B51/B41</f>
        <v>1.2076196512867432E-2</v>
      </c>
      <c r="C88" s="9">
        <f t="shared" ref="C88:G88" si="75">+C51/C41</f>
        <v>2.1245381425650453E-2</v>
      </c>
      <c r="D88" s="9">
        <f t="shared" si="75"/>
        <v>1.6571369253798221E-2</v>
      </c>
      <c r="E88" s="9">
        <f t="shared" si="75"/>
        <v>1.776686423134002E-2</v>
      </c>
      <c r="F88" s="9">
        <f t="shared" si="75"/>
        <v>2.9835598721514339E-2</v>
      </c>
      <c r="G88" s="9">
        <f t="shared" si="75"/>
        <v>2.0025544055042623E-2</v>
      </c>
    </row>
    <row r="90" spans="1:7" ht="16" x14ac:dyDescent="0.35">
      <c r="A90" s="10" t="s">
        <v>102</v>
      </c>
      <c r="C90" s="8">
        <f>+C49/AVERAGE(B37:C37)</f>
        <v>2.4065955807642037E-3</v>
      </c>
      <c r="D90" s="8">
        <f t="shared" ref="D90:G90" si="76">+D49/AVERAGE(C37:D37)</f>
        <v>0.20881336997896752</v>
      </c>
      <c r="E90" s="8">
        <f t="shared" si="76"/>
        <v>0.24853803347356615</v>
      </c>
      <c r="F90" s="8">
        <f t="shared" si="76"/>
        <v>0.27435122556405289</v>
      </c>
      <c r="G90" s="8">
        <f t="shared" si="76"/>
        <v>0.30949065518398311</v>
      </c>
    </row>
    <row r="91" spans="1:7" ht="16" x14ac:dyDescent="0.35">
      <c r="A91" s="10" t="s">
        <v>103</v>
      </c>
      <c r="C91" s="8">
        <f>+C57/AVERAGE(B37:C37)</f>
        <v>4.6047244187097734E-2</v>
      </c>
      <c r="D91" s="8">
        <f t="shared" ref="D91:G91" si="77">+D57/AVERAGE(C37:D37)</f>
        <v>0.25619480262089261</v>
      </c>
      <c r="E91" s="8">
        <f t="shared" si="77"/>
        <v>0.2907053484306123</v>
      </c>
      <c r="F91" s="8">
        <f t="shared" si="77"/>
        <v>0.31315859952003477</v>
      </c>
      <c r="G91" s="8">
        <f t="shared" si="77"/>
        <v>0.35024701511925777</v>
      </c>
    </row>
    <row r="92" spans="1:7" ht="16" x14ac:dyDescent="0.35">
      <c r="A92" s="10" t="s">
        <v>100</v>
      </c>
      <c r="C92" s="22">
        <f>+C54/AVERAGE(B37:C37)</f>
        <v>-2.763669768681162E-2</v>
      </c>
      <c r="D92" s="8">
        <f t="shared" ref="D92:G92" si="78">+D54/AVERAGE(C37:D37)</f>
        <v>0.12236954933449681</v>
      </c>
      <c r="E92" s="8">
        <f t="shared" si="78"/>
        <v>0.15712008346102094</v>
      </c>
      <c r="F92" s="8">
        <f t="shared" si="78"/>
        <v>0.13842128141136159</v>
      </c>
      <c r="G92" s="8">
        <f t="shared" si="78"/>
        <v>0.16907562468899012</v>
      </c>
    </row>
    <row r="93" spans="1:7" ht="16" x14ac:dyDescent="0.35">
      <c r="A93" s="10" t="s">
        <v>101</v>
      </c>
      <c r="C93" s="22">
        <f>+C54/AVERAGE(B36:C36)</f>
        <v>-5.8278701457776007E-2</v>
      </c>
      <c r="D93" s="8">
        <f t="shared" ref="D93:G93" si="79">+D54/AVERAGE(C36:D36)</f>
        <v>0.26914159630545575</v>
      </c>
      <c r="E93" s="8">
        <f t="shared" si="79"/>
        <v>0.47002018875285462</v>
      </c>
      <c r="F93" s="8">
        <f t="shared" si="79"/>
        <v>0.50481947209470623</v>
      </c>
      <c r="G93" s="8">
        <f t="shared" si="79"/>
        <v>0.50660240409094348</v>
      </c>
    </row>
    <row r="95" spans="1:7" ht="16" x14ac:dyDescent="0.35">
      <c r="A95" s="43" t="s">
        <v>104</v>
      </c>
      <c r="B95" s="43"/>
      <c r="C95" s="43"/>
      <c r="D95" s="43"/>
      <c r="E95" s="43"/>
    </row>
    <row r="96" spans="1:7" ht="16" x14ac:dyDescent="0.35">
      <c r="C96" s="4">
        <v>2020</v>
      </c>
      <c r="D96" s="4">
        <v>2021</v>
      </c>
      <c r="E96" s="4">
        <v>2022</v>
      </c>
      <c r="F96" s="4">
        <v>2023</v>
      </c>
      <c r="G96" s="4">
        <v>2024</v>
      </c>
    </row>
    <row r="97" spans="1:7" ht="16" x14ac:dyDescent="0.35">
      <c r="A97" s="39" t="s">
        <v>57</v>
      </c>
      <c r="B97" s="40"/>
      <c r="C97" s="23">
        <f>+C65</f>
        <v>-2.4654858027364352E-2</v>
      </c>
      <c r="D97" s="23">
        <f t="shared" ref="D97:G97" si="80">+D65</f>
        <v>6.5686948079014887E-2</v>
      </c>
      <c r="E97" s="23">
        <f t="shared" si="80"/>
        <v>7.0067414016848809E-2</v>
      </c>
      <c r="F97" s="23">
        <f t="shared" si="80"/>
        <v>5.4263892193396841E-2</v>
      </c>
      <c r="G97" s="23">
        <f t="shared" si="80"/>
        <v>6.3017100545605331E-2</v>
      </c>
    </row>
    <row r="98" spans="1:7" ht="16" x14ac:dyDescent="0.35">
      <c r="A98" s="39" t="s">
        <v>105</v>
      </c>
      <c r="B98" s="40"/>
      <c r="C98" s="24">
        <f>+T8</f>
        <v>1.1209432906138714</v>
      </c>
      <c r="D98" s="24">
        <f t="shared" ref="D98:G98" si="81">+U8</f>
        <v>1.8629203047658478</v>
      </c>
      <c r="E98" s="24">
        <f t="shared" si="81"/>
        <v>2.2424130484284603</v>
      </c>
      <c r="F98" s="24">
        <f t="shared" si="81"/>
        <v>2.5508911325053369</v>
      </c>
      <c r="G98" s="24">
        <f t="shared" si="81"/>
        <v>2.6830118051310614</v>
      </c>
    </row>
    <row r="99" spans="1:7" ht="16" x14ac:dyDescent="0.35">
      <c r="A99" s="39" t="s">
        <v>106</v>
      </c>
      <c r="B99" s="40"/>
      <c r="C99" s="24">
        <f>+(1+C85)</f>
        <v>2.1087433136263209</v>
      </c>
      <c r="D99" s="24">
        <f t="shared" ref="D99:G99" si="82">+(1+D85)</f>
        <v>2.199416421562181</v>
      </c>
      <c r="E99" s="24">
        <f t="shared" si="82"/>
        <v>2.9914710990429132</v>
      </c>
      <c r="F99" s="24">
        <f t="shared" si="82"/>
        <v>3.6469787517316741</v>
      </c>
      <c r="G99" s="24">
        <f t="shared" si="82"/>
        <v>2.9963065641355717</v>
      </c>
    </row>
    <row r="100" spans="1:7" ht="16" x14ac:dyDescent="0.35">
      <c r="A100" s="39" t="s">
        <v>101</v>
      </c>
      <c r="B100" s="40"/>
      <c r="C100" s="38">
        <f>+C97*C98*C99</f>
        <v>-5.8278701457776014E-2</v>
      </c>
      <c r="D100" s="26">
        <f t="shared" ref="D100" si="83">+D97*D98*D99</f>
        <v>0.26914159630545575</v>
      </c>
      <c r="E100" s="26">
        <f>+E97*E98*E99</f>
        <v>0.47002018875285462</v>
      </c>
      <c r="F100" s="26">
        <f t="shared" ref="F100:G100" si="84">+F97*F98*F99</f>
        <v>0.50481947209470623</v>
      </c>
      <c r="G100" s="26">
        <f t="shared" si="84"/>
        <v>0.50660240409094348</v>
      </c>
    </row>
    <row r="101" spans="1:7" x14ac:dyDescent="0.35">
      <c r="B101" s="25"/>
      <c r="C101" s="25" t="b">
        <f>+C100=C93</f>
        <v>1</v>
      </c>
      <c r="D101" s="25" t="b">
        <f t="shared" ref="D101" si="85">+D100=D93</f>
        <v>1</v>
      </c>
      <c r="E101" s="25" t="b">
        <f>+E100=E93</f>
        <v>1</v>
      </c>
      <c r="F101" s="25" t="b">
        <f t="shared" ref="F101:G101" si="86">+F100=F93</f>
        <v>1</v>
      </c>
      <c r="G101" s="25" t="b">
        <f t="shared" si="86"/>
        <v>1</v>
      </c>
    </row>
  </sheetData>
  <mergeCells count="7">
    <mergeCell ref="A99:B99"/>
    <mergeCell ref="A100:B100"/>
    <mergeCell ref="I5:M5"/>
    <mergeCell ref="I39:M39"/>
    <mergeCell ref="A95:E95"/>
    <mergeCell ref="A97:B97"/>
    <mergeCell ref="A98:B98"/>
  </mergeCells>
  <pageMargins left="0.7" right="0.7" top="0.75" bottom="0.75" header="0.3" footer="0.3"/>
  <ignoredErrors>
    <ignoredError sqref="B13:G13 T14:X14 T18:X18 T25:X25" formulaRange="1"/>
    <ignoredError sqref="N52:N53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47714-6A1C-49B5-99FB-D95FB57D5A6C}">
  <dimension ref="A1:H93"/>
  <sheetViews>
    <sheetView tabSelected="1" zoomScaleNormal="100" workbookViewId="0"/>
  </sheetViews>
  <sheetFormatPr baseColWidth="10" defaultRowHeight="14.5" x14ac:dyDescent="0.35"/>
  <cols>
    <col min="1" max="1" width="34.90625" customWidth="1"/>
    <col min="2" max="7" width="16.6328125" bestFit="1" customWidth="1"/>
    <col min="8" max="8" width="10.90625" customWidth="1"/>
  </cols>
  <sheetData>
    <row r="1" spans="1:7" ht="16" x14ac:dyDescent="0.35">
      <c r="A1" s="2" t="s">
        <v>0</v>
      </c>
      <c r="C1" s="1" t="s">
        <v>49</v>
      </c>
      <c r="D1" s="1">
        <v>860076919</v>
      </c>
    </row>
    <row r="2" spans="1:7" ht="16" x14ac:dyDescent="0.35">
      <c r="A2" s="2" t="s">
        <v>1</v>
      </c>
    </row>
    <row r="3" spans="1:7" ht="16" x14ac:dyDescent="0.35">
      <c r="A3" s="2" t="s">
        <v>2</v>
      </c>
    </row>
    <row r="4" spans="1:7" ht="16" x14ac:dyDescent="0.35">
      <c r="A4" s="2" t="s">
        <v>3</v>
      </c>
    </row>
    <row r="6" spans="1:7" ht="16" x14ac:dyDescent="0.35">
      <c r="A6" s="3"/>
      <c r="B6" s="4">
        <v>2019</v>
      </c>
      <c r="C6" s="4">
        <v>2020</v>
      </c>
      <c r="D6" s="4">
        <v>2021</v>
      </c>
      <c r="E6" s="4">
        <v>2022</v>
      </c>
      <c r="F6" s="4">
        <v>2023</v>
      </c>
      <c r="G6" s="4">
        <v>2024</v>
      </c>
    </row>
    <row r="7" spans="1:7" ht="16" x14ac:dyDescent="0.35">
      <c r="A7" s="10" t="s">
        <v>18</v>
      </c>
      <c r="B7" s="5">
        <v>27563075</v>
      </c>
      <c r="C7" s="5">
        <v>31389172</v>
      </c>
      <c r="D7" s="5">
        <v>31284601</v>
      </c>
      <c r="E7" s="5">
        <v>55588335</v>
      </c>
      <c r="F7" s="5">
        <v>40585061</v>
      </c>
      <c r="G7" s="5">
        <v>44722595</v>
      </c>
    </row>
    <row r="8" spans="1:7" ht="16" x14ac:dyDescent="0.35">
      <c r="A8" s="10" t="s">
        <v>19</v>
      </c>
      <c r="B8" s="5">
        <v>1381838</v>
      </c>
      <c r="C8" s="5">
        <v>3982233</v>
      </c>
      <c r="D8" s="5">
        <v>2084461</v>
      </c>
      <c r="E8" s="5">
        <v>3137462</v>
      </c>
      <c r="F8" s="5">
        <v>4380046</v>
      </c>
      <c r="G8" s="5">
        <v>5513442</v>
      </c>
    </row>
    <row r="9" spans="1:7" ht="16" x14ac:dyDescent="0.35">
      <c r="A9" s="10" t="s">
        <v>20</v>
      </c>
      <c r="B9" s="5">
        <v>11448969</v>
      </c>
      <c r="C9" s="5">
        <v>11115693</v>
      </c>
      <c r="D9" s="5">
        <v>18000664</v>
      </c>
      <c r="E9" s="5">
        <v>27034927</v>
      </c>
      <c r="F9" s="5">
        <v>28213703</v>
      </c>
      <c r="G9" s="5">
        <v>29603192</v>
      </c>
    </row>
    <row r="10" spans="1:7" ht="16" x14ac:dyDescent="0.35">
      <c r="A10" s="10" t="s">
        <v>21</v>
      </c>
      <c r="B10" s="5">
        <v>4446916</v>
      </c>
      <c r="C10" s="5">
        <v>7743729</v>
      </c>
      <c r="D10" s="5">
        <v>3100754</v>
      </c>
      <c r="E10" s="5">
        <v>1089529</v>
      </c>
      <c r="F10" s="5">
        <v>1167724</v>
      </c>
      <c r="G10" s="5">
        <v>2377236</v>
      </c>
    </row>
    <row r="11" spans="1:7" ht="16" x14ac:dyDescent="0.35">
      <c r="A11" s="10" t="s">
        <v>22</v>
      </c>
      <c r="B11" s="5">
        <v>2135124</v>
      </c>
      <c r="C11" s="5">
        <v>2587843</v>
      </c>
      <c r="D11" s="5"/>
      <c r="E11" s="5"/>
      <c r="F11" s="5"/>
      <c r="G11" s="5">
        <v>0</v>
      </c>
    </row>
    <row r="12" spans="1:7" ht="16" x14ac:dyDescent="0.35">
      <c r="A12" s="10" t="s">
        <v>23</v>
      </c>
      <c r="B12" s="5"/>
      <c r="C12" s="5"/>
      <c r="D12" s="5">
        <v>2239750</v>
      </c>
      <c r="E12" s="5">
        <v>2565787</v>
      </c>
      <c r="F12" s="5">
        <v>2237733</v>
      </c>
      <c r="G12" s="5">
        <v>3163780</v>
      </c>
    </row>
    <row r="13" spans="1:7" ht="16" x14ac:dyDescent="0.35">
      <c r="A13" s="7" t="s">
        <v>24</v>
      </c>
      <c r="B13" s="6">
        <f>SUM(B7:B12)</f>
        <v>46975922</v>
      </c>
      <c r="C13" s="6">
        <f t="shared" ref="C13:G13" si="0">SUM(C7:C12)</f>
        <v>56818670</v>
      </c>
      <c r="D13" s="6">
        <f t="shared" si="0"/>
        <v>56710230</v>
      </c>
      <c r="E13" s="6">
        <f t="shared" si="0"/>
        <v>89416040</v>
      </c>
      <c r="F13" s="6">
        <f t="shared" si="0"/>
        <v>76584267</v>
      </c>
      <c r="G13" s="6">
        <f t="shared" si="0"/>
        <v>85380245</v>
      </c>
    </row>
    <row r="14" spans="1:7" ht="16" x14ac:dyDescent="0.35">
      <c r="A14" s="10" t="s">
        <v>25</v>
      </c>
      <c r="B14" s="5">
        <v>107018825</v>
      </c>
      <c r="C14" s="5">
        <v>104922602</v>
      </c>
      <c r="D14" s="5">
        <v>108652565</v>
      </c>
      <c r="E14" s="5">
        <v>112284062</v>
      </c>
      <c r="F14" s="5">
        <v>126381584</v>
      </c>
      <c r="G14" s="5">
        <v>133025513</v>
      </c>
    </row>
    <row r="15" spans="1:7" ht="16" x14ac:dyDescent="0.35">
      <c r="A15" s="10" t="s">
        <v>26</v>
      </c>
      <c r="B15" s="5">
        <v>28906329</v>
      </c>
      <c r="C15" s="5">
        <v>28019878</v>
      </c>
      <c r="D15" s="5">
        <v>28217993</v>
      </c>
      <c r="E15" s="5">
        <v>41071700</v>
      </c>
      <c r="F15" s="5">
        <v>43561469</v>
      </c>
      <c r="G15" s="5">
        <v>48296075</v>
      </c>
    </row>
    <row r="16" spans="1:7" ht="16" x14ac:dyDescent="0.35">
      <c r="A16" s="10" t="s">
        <v>27</v>
      </c>
      <c r="B16" s="5">
        <v>495965</v>
      </c>
      <c r="C16" s="5">
        <v>617791</v>
      </c>
      <c r="D16" s="5">
        <v>537474</v>
      </c>
      <c r="E16" s="5">
        <v>450448</v>
      </c>
      <c r="F16" s="5">
        <v>579346</v>
      </c>
      <c r="G16" s="5">
        <v>92076</v>
      </c>
    </row>
    <row r="17" spans="1:7" ht="16" x14ac:dyDescent="0.35">
      <c r="A17" s="10" t="s">
        <v>28</v>
      </c>
      <c r="B17" s="5">
        <v>4216336</v>
      </c>
      <c r="C17" s="5">
        <v>6621727</v>
      </c>
      <c r="D17" s="5">
        <v>8322978</v>
      </c>
      <c r="E17" s="5">
        <v>15158141</v>
      </c>
      <c r="F17" s="5">
        <v>12608125</v>
      </c>
      <c r="G17" s="5">
        <v>16742274</v>
      </c>
    </row>
    <row r="18" spans="1:7" ht="16" x14ac:dyDescent="0.35">
      <c r="A18" s="10" t="s">
        <v>29</v>
      </c>
      <c r="B18" s="5">
        <v>220558</v>
      </c>
      <c r="C18" s="5">
        <v>54494</v>
      </c>
      <c r="D18" s="5">
        <v>244393</v>
      </c>
      <c r="E18" s="5">
        <v>18344</v>
      </c>
      <c r="F18" s="5">
        <v>1208569</v>
      </c>
      <c r="G18" s="5">
        <v>31235</v>
      </c>
    </row>
    <row r="19" spans="1:7" ht="16" x14ac:dyDescent="0.35">
      <c r="A19" s="10" t="s">
        <v>30</v>
      </c>
      <c r="B19" s="5">
        <v>17394198</v>
      </c>
      <c r="C19" s="5">
        <v>17394198</v>
      </c>
      <c r="D19" s="5">
        <v>17445197</v>
      </c>
      <c r="E19" s="5">
        <v>17445197</v>
      </c>
      <c r="F19" s="5">
        <v>19230494</v>
      </c>
      <c r="G19" s="5">
        <v>19230494</v>
      </c>
    </row>
    <row r="20" spans="1:7" ht="16" x14ac:dyDescent="0.35">
      <c r="A20" s="7" t="s">
        <v>31</v>
      </c>
      <c r="B20" s="6">
        <f t="shared" ref="B20:G20" si="1">SUM(B14:B19)</f>
        <v>158252211</v>
      </c>
      <c r="C20" s="6">
        <f t="shared" si="1"/>
        <v>157630690</v>
      </c>
      <c r="D20" s="6">
        <f t="shared" si="1"/>
        <v>163420600</v>
      </c>
      <c r="E20" s="6">
        <f t="shared" si="1"/>
        <v>186427892</v>
      </c>
      <c r="F20" s="6">
        <f t="shared" si="1"/>
        <v>203569587</v>
      </c>
      <c r="G20" s="6">
        <f t="shared" si="1"/>
        <v>217417667</v>
      </c>
    </row>
    <row r="21" spans="1:7" ht="16" x14ac:dyDescent="0.35">
      <c r="A21" s="7" t="s">
        <v>32</v>
      </c>
      <c r="B21" s="6">
        <f t="shared" ref="B21:G21" si="2">+B13+B20</f>
        <v>205228133</v>
      </c>
      <c r="C21" s="6">
        <f t="shared" si="2"/>
        <v>214449360</v>
      </c>
      <c r="D21" s="6">
        <f t="shared" si="2"/>
        <v>220130830</v>
      </c>
      <c r="E21" s="6">
        <f t="shared" si="2"/>
        <v>275843932</v>
      </c>
      <c r="F21" s="6">
        <f t="shared" si="2"/>
        <v>280153854</v>
      </c>
      <c r="G21" s="6">
        <f t="shared" si="2"/>
        <v>302797912</v>
      </c>
    </row>
    <row r="22" spans="1:7" ht="16" x14ac:dyDescent="0.35">
      <c r="A22" s="10" t="s">
        <v>33</v>
      </c>
      <c r="B22" s="5">
        <v>9891377</v>
      </c>
      <c r="C22" s="5">
        <v>8825357</v>
      </c>
      <c r="D22" s="5">
        <v>12051650</v>
      </c>
      <c r="E22" s="5">
        <v>15181511</v>
      </c>
      <c r="F22" s="5">
        <v>19151800</v>
      </c>
      <c r="G22" s="5">
        <v>22350040</v>
      </c>
    </row>
    <row r="23" spans="1:7" ht="16" x14ac:dyDescent="0.35">
      <c r="A23" s="10" t="s">
        <v>34</v>
      </c>
      <c r="B23" s="5">
        <v>25631650</v>
      </c>
      <c r="C23" s="5">
        <v>26580199</v>
      </c>
      <c r="D23" s="5">
        <v>30076101</v>
      </c>
      <c r="E23" s="5">
        <v>60026455</v>
      </c>
      <c r="F23" s="5">
        <v>41110051</v>
      </c>
      <c r="G23" s="5">
        <v>42875311</v>
      </c>
    </row>
    <row r="24" spans="1:7" ht="16" x14ac:dyDescent="0.35">
      <c r="A24" s="10" t="s">
        <v>35</v>
      </c>
      <c r="B24" s="5">
        <v>11169941</v>
      </c>
      <c r="C24" s="5">
        <v>6319993</v>
      </c>
      <c r="D24" s="5">
        <v>6319993</v>
      </c>
      <c r="E24" s="5">
        <v>7171744</v>
      </c>
      <c r="F24" s="5">
        <v>11371521</v>
      </c>
      <c r="G24" s="5">
        <v>15135552</v>
      </c>
    </row>
    <row r="25" spans="1:7" ht="16" x14ac:dyDescent="0.35">
      <c r="A25" s="10" t="s">
        <v>36</v>
      </c>
      <c r="B25" s="5">
        <v>895168</v>
      </c>
      <c r="C25" s="5">
        <v>2373473</v>
      </c>
      <c r="D25" s="5">
        <v>1585180</v>
      </c>
      <c r="E25" s="5">
        <v>10416312</v>
      </c>
      <c r="F25" s="5">
        <v>294146</v>
      </c>
      <c r="G25" s="5">
        <v>1496479</v>
      </c>
    </row>
    <row r="26" spans="1:7" ht="16" x14ac:dyDescent="0.35">
      <c r="A26" s="10" t="s">
        <v>37</v>
      </c>
      <c r="B26" s="5">
        <v>12593604</v>
      </c>
      <c r="C26" s="5">
        <v>5770713</v>
      </c>
      <c r="D26" s="5">
        <v>9516301</v>
      </c>
      <c r="E26" s="5">
        <v>22885674</v>
      </c>
      <c r="F26" s="5">
        <v>27858736</v>
      </c>
      <c r="G26" s="5">
        <v>32217090</v>
      </c>
    </row>
    <row r="27" spans="1:7" ht="16" x14ac:dyDescent="0.35">
      <c r="A27" s="7" t="s">
        <v>38</v>
      </c>
      <c r="B27" s="6">
        <f>SUM(B22:B26)</f>
        <v>60181740</v>
      </c>
      <c r="C27" s="6">
        <f t="shared" ref="C27:G27" si="3">SUM(C22:C26)</f>
        <v>49869735</v>
      </c>
      <c r="D27" s="6">
        <f t="shared" si="3"/>
        <v>59549225</v>
      </c>
      <c r="E27" s="6">
        <f t="shared" si="3"/>
        <v>115681696</v>
      </c>
      <c r="F27" s="6">
        <f t="shared" si="3"/>
        <v>99786254</v>
      </c>
      <c r="G27" s="6">
        <f t="shared" si="3"/>
        <v>114074472</v>
      </c>
    </row>
    <row r="28" spans="1:7" ht="16" x14ac:dyDescent="0.35">
      <c r="A28" s="10" t="s">
        <v>39</v>
      </c>
      <c r="B28" s="5"/>
      <c r="C28" s="5"/>
      <c r="D28" s="5"/>
      <c r="E28" s="5"/>
      <c r="F28" s="5">
        <v>11934220</v>
      </c>
      <c r="G28" s="5">
        <v>14075506</v>
      </c>
    </row>
    <row r="29" spans="1:7" ht="16" x14ac:dyDescent="0.35">
      <c r="A29" s="10" t="s">
        <v>40</v>
      </c>
      <c r="B29" s="5">
        <v>5075662</v>
      </c>
      <c r="C29" s="5">
        <v>7522878</v>
      </c>
      <c r="D29" s="5">
        <v>8318777</v>
      </c>
      <c r="E29" s="5">
        <v>13792642</v>
      </c>
      <c r="F29" s="5"/>
      <c r="G29" s="5"/>
    </row>
    <row r="30" spans="1:7" ht="16" x14ac:dyDescent="0.35">
      <c r="A30" s="10" t="s">
        <v>41</v>
      </c>
      <c r="B30" s="5">
        <v>37562197</v>
      </c>
      <c r="C30" s="5">
        <v>60447463</v>
      </c>
      <c r="D30" s="5">
        <v>51283249</v>
      </c>
      <c r="E30" s="5">
        <v>81552899</v>
      </c>
      <c r="F30" s="5">
        <v>80795722</v>
      </c>
      <c r="G30" s="5">
        <v>67728809</v>
      </c>
    </row>
    <row r="31" spans="1:7" ht="16" x14ac:dyDescent="0.35">
      <c r="A31" s="7" t="s">
        <v>42</v>
      </c>
      <c r="B31" s="6">
        <f>SUM(B28:B30)</f>
        <v>42637859</v>
      </c>
      <c r="C31" s="6">
        <f t="shared" ref="C31:G31" si="4">SUM(C28:C30)</f>
        <v>67970341</v>
      </c>
      <c r="D31" s="6">
        <f t="shared" si="4"/>
        <v>59602026</v>
      </c>
      <c r="E31" s="6">
        <f t="shared" si="4"/>
        <v>95345541</v>
      </c>
      <c r="F31" s="6">
        <f t="shared" si="4"/>
        <v>92729942</v>
      </c>
      <c r="G31" s="6">
        <f t="shared" si="4"/>
        <v>81804315</v>
      </c>
    </row>
    <row r="32" spans="1:7" ht="16" x14ac:dyDescent="0.35">
      <c r="A32" s="7" t="s">
        <v>43</v>
      </c>
      <c r="B32" s="6">
        <f>+B31+B27</f>
        <v>102819599</v>
      </c>
      <c r="C32" s="6">
        <f t="shared" ref="C32:G32" si="5">+C31+C27</f>
        <v>117840076</v>
      </c>
      <c r="D32" s="6">
        <f t="shared" si="5"/>
        <v>119151251</v>
      </c>
      <c r="E32" s="6">
        <f t="shared" si="5"/>
        <v>211027237</v>
      </c>
      <c r="F32" s="6">
        <f t="shared" si="5"/>
        <v>192516196</v>
      </c>
      <c r="G32" s="6">
        <f t="shared" si="5"/>
        <v>195878787</v>
      </c>
    </row>
    <row r="33" spans="1:7" ht="16" x14ac:dyDescent="0.35">
      <c r="A33" s="10" t="s">
        <v>44</v>
      </c>
      <c r="B33" s="5">
        <v>950000</v>
      </c>
      <c r="C33" s="5">
        <v>950000</v>
      </c>
      <c r="D33" s="5">
        <v>950000</v>
      </c>
      <c r="E33" s="5">
        <v>950000</v>
      </c>
      <c r="F33" s="5">
        <v>950000</v>
      </c>
      <c r="G33" s="5">
        <v>950000</v>
      </c>
    </row>
    <row r="34" spans="1:7" ht="16" x14ac:dyDescent="0.35">
      <c r="A34" s="10" t="s">
        <v>45</v>
      </c>
      <c r="B34" s="5">
        <v>570873</v>
      </c>
      <c r="C34" s="5">
        <v>15570873</v>
      </c>
      <c r="D34" s="5">
        <v>570873</v>
      </c>
      <c r="E34" s="5">
        <v>570873</v>
      </c>
      <c r="F34" s="5">
        <v>570873</v>
      </c>
      <c r="G34" s="5">
        <v>570873</v>
      </c>
    </row>
    <row r="35" spans="1:7" ht="16" x14ac:dyDescent="0.35">
      <c r="A35" s="3" t="s">
        <v>46</v>
      </c>
      <c r="B35" s="5">
        <v>100887661</v>
      </c>
      <c r="C35" s="5">
        <v>80088411</v>
      </c>
      <c r="D35" s="5">
        <v>99458706</v>
      </c>
      <c r="E35" s="5">
        <v>63295822</v>
      </c>
      <c r="F35" s="5">
        <v>86116785</v>
      </c>
      <c r="G35" s="5">
        <v>105398252</v>
      </c>
    </row>
    <row r="36" spans="1:7" ht="16" x14ac:dyDescent="0.35">
      <c r="A36" s="2" t="s">
        <v>47</v>
      </c>
      <c r="B36" s="6">
        <f>SUM(B33:B35)</f>
        <v>102408534</v>
      </c>
      <c r="C36" s="6">
        <f t="shared" ref="C36:G36" si="6">SUM(C33:C35)</f>
        <v>96609284</v>
      </c>
      <c r="D36" s="6">
        <f t="shared" si="6"/>
        <v>100979579</v>
      </c>
      <c r="E36" s="6">
        <f t="shared" si="6"/>
        <v>64816695</v>
      </c>
      <c r="F36" s="6">
        <f t="shared" si="6"/>
        <v>87637658</v>
      </c>
      <c r="G36" s="6">
        <f t="shared" si="6"/>
        <v>106919125</v>
      </c>
    </row>
    <row r="37" spans="1:7" ht="16" x14ac:dyDescent="0.35">
      <c r="A37" s="2" t="s">
        <v>48</v>
      </c>
      <c r="B37" s="6">
        <f>+B32+B36</f>
        <v>205228133</v>
      </c>
      <c r="C37" s="6">
        <f t="shared" ref="C37:G37" si="7">+C32+C36</f>
        <v>214449360</v>
      </c>
      <c r="D37" s="6">
        <f t="shared" si="7"/>
        <v>220130830</v>
      </c>
      <c r="E37" s="6">
        <f t="shared" si="7"/>
        <v>275843932</v>
      </c>
      <c r="F37" s="6">
        <f t="shared" si="7"/>
        <v>280153854</v>
      </c>
      <c r="G37" s="6">
        <f t="shared" si="7"/>
        <v>302797912</v>
      </c>
    </row>
    <row r="38" spans="1:7" ht="16" x14ac:dyDescent="0.35">
      <c r="A38" s="3"/>
    </row>
    <row r="39" spans="1:7" ht="16" x14ac:dyDescent="0.35">
      <c r="A39" s="3"/>
      <c r="B39" s="4">
        <v>2019</v>
      </c>
      <c r="C39" s="4">
        <v>2020</v>
      </c>
      <c r="D39" s="4">
        <v>2021</v>
      </c>
      <c r="E39" s="4">
        <v>2022</v>
      </c>
      <c r="F39" s="4">
        <v>2023</v>
      </c>
      <c r="G39" s="4">
        <v>2024</v>
      </c>
    </row>
    <row r="40" spans="1:7" ht="16" x14ac:dyDescent="0.35">
      <c r="A40" s="3" t="s">
        <v>4</v>
      </c>
      <c r="B40" s="5">
        <v>380821312</v>
      </c>
      <c r="C40" s="5">
        <v>235217335</v>
      </c>
      <c r="D40" s="5">
        <v>404794130</v>
      </c>
      <c r="E40" s="5">
        <v>556090139</v>
      </c>
      <c r="F40" s="5">
        <v>709144911</v>
      </c>
      <c r="G40" s="5">
        <v>782033235</v>
      </c>
    </row>
    <row r="41" spans="1:7" ht="16" x14ac:dyDescent="0.35">
      <c r="A41" s="3" t="s">
        <v>5</v>
      </c>
      <c r="B41" s="5">
        <v>157887922</v>
      </c>
      <c r="C41" s="5">
        <v>100682030</v>
      </c>
      <c r="D41" s="5">
        <v>165620576</v>
      </c>
      <c r="E41" s="5">
        <v>253499905</v>
      </c>
      <c r="F41" s="5">
        <v>320603753</v>
      </c>
      <c r="G41" s="5">
        <v>341162075</v>
      </c>
    </row>
    <row r="42" spans="1:7" ht="16" x14ac:dyDescent="0.35">
      <c r="A42" s="2" t="s">
        <v>6</v>
      </c>
      <c r="B42" s="6">
        <f>+B40-B41</f>
        <v>222933390</v>
      </c>
      <c r="C42" s="6">
        <f t="shared" ref="C42:G42" si="8">+C40-C41</f>
        <v>134535305</v>
      </c>
      <c r="D42" s="6">
        <f t="shared" si="8"/>
        <v>239173554</v>
      </c>
      <c r="E42" s="6">
        <f t="shared" si="8"/>
        <v>302590234</v>
      </c>
      <c r="F42" s="6">
        <f t="shared" si="8"/>
        <v>388541158</v>
      </c>
      <c r="G42" s="6">
        <f t="shared" si="8"/>
        <v>440871160</v>
      </c>
    </row>
    <row r="43" spans="1:7" ht="16" x14ac:dyDescent="0.35">
      <c r="A43" s="3" t="s">
        <v>7</v>
      </c>
      <c r="B43" s="5">
        <v>2062078</v>
      </c>
      <c r="C43" s="5">
        <v>13432626</v>
      </c>
      <c r="D43" s="5">
        <v>3855150</v>
      </c>
      <c r="E43" s="5">
        <v>15128529</v>
      </c>
      <c r="F43" s="5">
        <v>5560782</v>
      </c>
      <c r="G43" s="5">
        <v>7290250</v>
      </c>
    </row>
    <row r="44" spans="1:7" ht="16" x14ac:dyDescent="0.35">
      <c r="A44" s="3" t="s">
        <v>8</v>
      </c>
      <c r="B44" s="5">
        <v>147669767</v>
      </c>
      <c r="C44" s="5">
        <v>115369016</v>
      </c>
      <c r="D44" s="5">
        <v>161315322</v>
      </c>
      <c r="E44" s="5">
        <v>215513219</v>
      </c>
      <c r="F44" s="5">
        <v>269646079</v>
      </c>
      <c r="G44" s="5">
        <v>304322201</v>
      </c>
    </row>
    <row r="45" spans="1:7" ht="16" x14ac:dyDescent="0.35">
      <c r="A45" s="3" t="s">
        <v>9</v>
      </c>
      <c r="B45" s="5">
        <v>23348138</v>
      </c>
      <c r="C45" s="5">
        <v>19094759</v>
      </c>
      <c r="D45" s="5">
        <v>24521903</v>
      </c>
      <c r="E45" s="5">
        <v>27860007</v>
      </c>
      <c r="F45" s="5">
        <v>34478706</v>
      </c>
      <c r="G45" s="5">
        <v>39516978</v>
      </c>
    </row>
    <row r="46" spans="1:7" ht="16" x14ac:dyDescent="0.35">
      <c r="A46" s="3" t="s">
        <v>10</v>
      </c>
      <c r="B46" s="5">
        <v>9564967</v>
      </c>
      <c r="C46" s="5">
        <v>12999159</v>
      </c>
      <c r="D46" s="5">
        <v>11134406</v>
      </c>
      <c r="E46" s="5">
        <v>12711241</v>
      </c>
      <c r="F46" s="5">
        <v>13707818</v>
      </c>
      <c r="G46" s="5">
        <v>14113169</v>
      </c>
    </row>
    <row r="47" spans="1:7" ht="16" x14ac:dyDescent="0.35">
      <c r="A47" s="3" t="s">
        <v>11</v>
      </c>
      <c r="B47" s="5"/>
      <c r="C47" s="5"/>
      <c r="D47" s="5">
        <v>-683996</v>
      </c>
      <c r="E47" s="5"/>
      <c r="F47" s="5"/>
      <c r="G47" s="5"/>
    </row>
    <row r="48" spans="1:7" ht="16" x14ac:dyDescent="0.35">
      <c r="A48" s="2" t="s">
        <v>12</v>
      </c>
      <c r="B48" s="6">
        <f>+B42+B43-B44-B45-B46+B47</f>
        <v>44412596</v>
      </c>
      <c r="C48" s="6">
        <f t="shared" ref="C48:G48" si="9">+C42+C43-C44-C45-C46+C47</f>
        <v>504997</v>
      </c>
      <c r="D48" s="6">
        <f t="shared" si="9"/>
        <v>45373077</v>
      </c>
      <c r="E48" s="6">
        <f t="shared" si="9"/>
        <v>61634296</v>
      </c>
      <c r="F48" s="6">
        <f t="shared" si="9"/>
        <v>76269337</v>
      </c>
      <c r="G48" s="6">
        <f t="shared" si="9"/>
        <v>90209062</v>
      </c>
    </row>
    <row r="49" spans="1:7" ht="16" x14ac:dyDescent="0.35">
      <c r="A49" s="3" t="s">
        <v>13</v>
      </c>
      <c r="B49" s="5">
        <v>376431</v>
      </c>
      <c r="C49" s="5">
        <v>1532020</v>
      </c>
      <c r="D49" s="5">
        <v>1512106</v>
      </c>
      <c r="E49" s="5">
        <v>7592851</v>
      </c>
      <c r="F49" s="5">
        <v>2808638</v>
      </c>
      <c r="G49" s="5">
        <v>5985087</v>
      </c>
    </row>
    <row r="50" spans="1:7" ht="16" x14ac:dyDescent="0.35">
      <c r="A50" s="3" t="s">
        <v>14</v>
      </c>
      <c r="B50" s="5">
        <v>4598873</v>
      </c>
      <c r="C50" s="5">
        <v>4997282</v>
      </c>
      <c r="D50" s="5">
        <v>6707993</v>
      </c>
      <c r="E50" s="5">
        <v>9879978</v>
      </c>
      <c r="F50" s="5">
        <v>21157763</v>
      </c>
      <c r="G50" s="5">
        <v>15660641</v>
      </c>
    </row>
    <row r="51" spans="1:7" ht="16" x14ac:dyDescent="0.35">
      <c r="A51" s="2" t="s">
        <v>15</v>
      </c>
      <c r="B51" s="6">
        <f>+B48+B49-B50</f>
        <v>40190154</v>
      </c>
      <c r="C51" s="6">
        <f t="shared" ref="C51:G51" si="10">+C48+C49-C50</f>
        <v>-2960265</v>
      </c>
      <c r="D51" s="6">
        <f t="shared" si="10"/>
        <v>40177190</v>
      </c>
      <c r="E51" s="6">
        <f t="shared" si="10"/>
        <v>59347169</v>
      </c>
      <c r="F51" s="6">
        <f t="shared" si="10"/>
        <v>57920212</v>
      </c>
      <c r="G51" s="6">
        <f t="shared" si="10"/>
        <v>80533508</v>
      </c>
    </row>
    <row r="52" spans="1:7" ht="16" x14ac:dyDescent="0.35">
      <c r="A52" s="3" t="s">
        <v>16</v>
      </c>
      <c r="B52" s="5">
        <v>9811699</v>
      </c>
      <c r="C52" s="5">
        <v>2838985</v>
      </c>
      <c r="D52" s="5">
        <v>13587499</v>
      </c>
      <c r="E52" s="5">
        <v>20383371</v>
      </c>
      <c r="F52" s="5">
        <v>19439249</v>
      </c>
      <c r="G52" s="5">
        <v>31252041</v>
      </c>
    </row>
    <row r="53" spans="1:7" ht="16" x14ac:dyDescent="0.35">
      <c r="A53" s="2" t="s">
        <v>17</v>
      </c>
      <c r="B53" s="6">
        <f>+B51-B52</f>
        <v>30378455</v>
      </c>
      <c r="C53" s="6">
        <f t="shared" ref="C53:G53" si="11">+C51-C52</f>
        <v>-5799250</v>
      </c>
      <c r="D53" s="6">
        <f t="shared" si="11"/>
        <v>26589691</v>
      </c>
      <c r="E53" s="6">
        <f t="shared" si="11"/>
        <v>38963798</v>
      </c>
      <c r="F53" s="6">
        <f t="shared" si="11"/>
        <v>38480963</v>
      </c>
      <c r="G53" s="6">
        <f t="shared" si="11"/>
        <v>49281467</v>
      </c>
    </row>
    <row r="54" spans="1:7" ht="16" x14ac:dyDescent="0.35">
      <c r="A54" s="3"/>
    </row>
    <row r="55" spans="1:7" ht="16" x14ac:dyDescent="0.35">
      <c r="A55" s="7" t="s">
        <v>50</v>
      </c>
      <c r="B55" s="5">
        <v>8029227</v>
      </c>
      <c r="C55" s="5">
        <v>9157499</v>
      </c>
      <c r="D55" s="5">
        <v>10295516</v>
      </c>
      <c r="E55" s="5">
        <v>10456962</v>
      </c>
      <c r="F55" s="5">
        <v>10788407</v>
      </c>
      <c r="G55" s="5">
        <v>11879496</v>
      </c>
    </row>
    <row r="57" spans="1:7" ht="16" x14ac:dyDescent="0.35">
      <c r="C57" s="4">
        <v>2020</v>
      </c>
      <c r="D57" s="4">
        <v>2021</v>
      </c>
      <c r="E57" s="4">
        <v>2022</v>
      </c>
      <c r="F57" s="4">
        <v>2023</v>
      </c>
      <c r="G57" s="4">
        <v>2024</v>
      </c>
    </row>
    <row r="58" spans="1:7" ht="16" x14ac:dyDescent="0.35">
      <c r="B58" s="2" t="s">
        <v>107</v>
      </c>
      <c r="C58" s="6">
        <f>+C53</f>
        <v>-5799250</v>
      </c>
      <c r="D58" s="6">
        <f t="shared" ref="D58:G58" si="12">+D53</f>
        <v>26589691</v>
      </c>
      <c r="E58" s="6">
        <f t="shared" si="12"/>
        <v>38963798</v>
      </c>
      <c r="F58" s="6">
        <f t="shared" si="12"/>
        <v>38480963</v>
      </c>
      <c r="G58" s="6">
        <f t="shared" si="12"/>
        <v>49281467</v>
      </c>
    </row>
    <row r="59" spans="1:7" ht="16" x14ac:dyDescent="0.35">
      <c r="B59" s="27" t="s">
        <v>108</v>
      </c>
      <c r="C59" s="5">
        <f>+C55</f>
        <v>9157499</v>
      </c>
      <c r="D59" s="5">
        <f t="shared" ref="D59:G59" si="13">+D55</f>
        <v>10295516</v>
      </c>
      <c r="E59" s="5">
        <f t="shared" si="13"/>
        <v>10456962</v>
      </c>
      <c r="F59" s="5">
        <f t="shared" si="13"/>
        <v>10788407</v>
      </c>
      <c r="G59" s="5">
        <f t="shared" si="13"/>
        <v>11879496</v>
      </c>
    </row>
    <row r="60" spans="1:7" ht="16" x14ac:dyDescent="0.35">
      <c r="B60" s="28" t="s">
        <v>109</v>
      </c>
      <c r="C60" s="5">
        <f>-C49</f>
        <v>-1532020</v>
      </c>
      <c r="D60" s="5">
        <f t="shared" ref="D60:G60" si="14">-D49</f>
        <v>-1512106</v>
      </c>
      <c r="E60" s="5">
        <f t="shared" si="14"/>
        <v>-7592851</v>
      </c>
      <c r="F60" s="5">
        <f t="shared" si="14"/>
        <v>-2808638</v>
      </c>
      <c r="G60" s="5">
        <f t="shared" si="14"/>
        <v>-5985087</v>
      </c>
    </row>
    <row r="61" spans="1:7" ht="16" x14ac:dyDescent="0.35">
      <c r="B61" s="28" t="s">
        <v>110</v>
      </c>
      <c r="C61" s="5">
        <f>+C50</f>
        <v>4997282</v>
      </c>
      <c r="D61" s="5">
        <f t="shared" ref="D61:G61" si="15">+D50</f>
        <v>6707993</v>
      </c>
      <c r="E61" s="5">
        <f t="shared" si="15"/>
        <v>9879978</v>
      </c>
      <c r="F61" s="5">
        <f t="shared" si="15"/>
        <v>21157763</v>
      </c>
      <c r="G61" s="5">
        <f t="shared" si="15"/>
        <v>15660641</v>
      </c>
    </row>
    <row r="62" spans="1:7" ht="16" x14ac:dyDescent="0.35">
      <c r="B62" s="2" t="s">
        <v>111</v>
      </c>
      <c r="C62" s="6">
        <f>SUM(C58:C61)</f>
        <v>6823511</v>
      </c>
      <c r="D62" s="6">
        <f t="shared" ref="D62:G62" si="16">SUM(D58:D61)</f>
        <v>42081094</v>
      </c>
      <c r="E62" s="6">
        <f t="shared" si="16"/>
        <v>51707887</v>
      </c>
      <c r="F62" s="6">
        <f t="shared" si="16"/>
        <v>67618495</v>
      </c>
      <c r="G62" s="6">
        <f t="shared" si="16"/>
        <v>70836517</v>
      </c>
    </row>
    <row r="63" spans="1:7" ht="16" x14ac:dyDescent="0.35">
      <c r="A63" s="44" t="s">
        <v>112</v>
      </c>
      <c r="B63" s="3" t="s">
        <v>113</v>
      </c>
      <c r="C63" s="5">
        <f>+B8-C8</f>
        <v>-2600395</v>
      </c>
      <c r="D63" s="5">
        <f t="shared" ref="D63:G63" si="17">+C8-D8</f>
        <v>1897772</v>
      </c>
      <c r="E63" s="5">
        <f t="shared" si="17"/>
        <v>-1053001</v>
      </c>
      <c r="F63" s="5">
        <f t="shared" si="17"/>
        <v>-1242584</v>
      </c>
      <c r="G63" s="5">
        <f t="shared" si="17"/>
        <v>-1133396</v>
      </c>
    </row>
    <row r="64" spans="1:7" ht="16" x14ac:dyDescent="0.35">
      <c r="A64" s="44"/>
      <c r="B64" s="3" t="s">
        <v>114</v>
      </c>
      <c r="C64" s="5">
        <f>+B9-C9</f>
        <v>333276</v>
      </c>
      <c r="D64" s="5">
        <f t="shared" ref="D64:G64" si="18">+C9-D9</f>
        <v>-6884971</v>
      </c>
      <c r="E64" s="5">
        <f t="shared" si="18"/>
        <v>-9034263</v>
      </c>
      <c r="F64" s="5">
        <f t="shared" si="18"/>
        <v>-1178776</v>
      </c>
      <c r="G64" s="5">
        <f t="shared" si="18"/>
        <v>-1389489</v>
      </c>
    </row>
    <row r="65" spans="1:8" ht="16" x14ac:dyDescent="0.35">
      <c r="A65" s="44"/>
      <c r="B65" s="3" t="s">
        <v>115</v>
      </c>
      <c r="C65" s="5">
        <f>+C23-B23</f>
        <v>948549</v>
      </c>
      <c r="D65" s="5">
        <f t="shared" ref="D65:G65" si="19">+D23-C23</f>
        <v>3495902</v>
      </c>
      <c r="E65" s="29">
        <f t="shared" si="19"/>
        <v>29950354</v>
      </c>
      <c r="F65" s="29">
        <f t="shared" si="19"/>
        <v>-18916404</v>
      </c>
      <c r="G65" s="29">
        <f t="shared" si="19"/>
        <v>1765260</v>
      </c>
    </row>
    <row r="66" spans="1:8" ht="16" x14ac:dyDescent="0.35">
      <c r="A66" s="45" t="s">
        <v>116</v>
      </c>
      <c r="B66" s="3" t="s">
        <v>117</v>
      </c>
      <c r="C66" s="5">
        <f>+B10-C10</f>
        <v>-3296813</v>
      </c>
      <c r="D66" s="5">
        <f t="shared" ref="D66:G66" si="20">+C10-D10</f>
        <v>4642975</v>
      </c>
      <c r="E66" s="5">
        <f t="shared" si="20"/>
        <v>2011225</v>
      </c>
      <c r="F66" s="5">
        <f t="shared" si="20"/>
        <v>-78195</v>
      </c>
      <c r="G66" s="5">
        <f t="shared" si="20"/>
        <v>-1209512</v>
      </c>
    </row>
    <row r="67" spans="1:8" ht="16" x14ac:dyDescent="0.35">
      <c r="A67" s="45"/>
      <c r="B67" s="3" t="s">
        <v>118</v>
      </c>
      <c r="C67" s="5">
        <f t="shared" ref="C67:G68" si="21">+B11-C11</f>
        <v>-452719</v>
      </c>
      <c r="D67" s="5">
        <f t="shared" si="21"/>
        <v>2587843</v>
      </c>
      <c r="E67" s="5">
        <f t="shared" si="21"/>
        <v>0</v>
      </c>
      <c r="F67" s="5">
        <f t="shared" si="21"/>
        <v>0</v>
      </c>
      <c r="G67" s="5">
        <f t="shared" si="21"/>
        <v>0</v>
      </c>
    </row>
    <row r="68" spans="1:8" ht="16" x14ac:dyDescent="0.35">
      <c r="A68" s="45"/>
      <c r="B68" s="3" t="s">
        <v>119</v>
      </c>
      <c r="C68" s="5">
        <f t="shared" si="21"/>
        <v>0</v>
      </c>
      <c r="D68" s="5">
        <f t="shared" si="21"/>
        <v>-2239750</v>
      </c>
      <c r="E68" s="5">
        <f t="shared" si="21"/>
        <v>-326037</v>
      </c>
      <c r="F68" s="5">
        <f t="shared" si="21"/>
        <v>328054</v>
      </c>
      <c r="G68" s="5">
        <f t="shared" si="21"/>
        <v>-926047</v>
      </c>
    </row>
    <row r="69" spans="1:8" ht="16" customHeight="1" x14ac:dyDescent="0.35">
      <c r="A69" s="45" t="s">
        <v>120</v>
      </c>
      <c r="B69" s="3" t="s">
        <v>123</v>
      </c>
      <c r="C69" s="16">
        <f>+C22-B22</f>
        <v>-1066020</v>
      </c>
      <c r="D69" s="16">
        <f t="shared" ref="D69:G69" si="22">+D22-C22</f>
        <v>3226293</v>
      </c>
      <c r="E69" s="16">
        <f t="shared" si="22"/>
        <v>3129861</v>
      </c>
      <c r="F69" s="16">
        <f t="shared" si="22"/>
        <v>3970289</v>
      </c>
      <c r="G69" s="16">
        <f t="shared" si="22"/>
        <v>3198240</v>
      </c>
      <c r="H69" s="46" t="s">
        <v>128</v>
      </c>
    </row>
    <row r="70" spans="1:8" ht="16" x14ac:dyDescent="0.35">
      <c r="A70" s="45"/>
      <c r="B70" s="3" t="s">
        <v>121</v>
      </c>
      <c r="C70" s="16">
        <f>+C24-B24</f>
        <v>-4849948</v>
      </c>
      <c r="D70" s="16">
        <f t="shared" ref="D70:G70" si="23">+D24-C24</f>
        <v>0</v>
      </c>
      <c r="E70" s="16">
        <f t="shared" si="23"/>
        <v>851751</v>
      </c>
      <c r="F70" s="16">
        <f t="shared" si="23"/>
        <v>4199777</v>
      </c>
      <c r="G70" s="16">
        <f t="shared" si="23"/>
        <v>3764031</v>
      </c>
      <c r="H70" s="46"/>
    </row>
    <row r="71" spans="1:8" ht="16" x14ac:dyDescent="0.35">
      <c r="A71" s="45"/>
      <c r="B71" s="3" t="s">
        <v>122</v>
      </c>
      <c r="C71" s="16">
        <f>+C26-B26</f>
        <v>-6822891</v>
      </c>
      <c r="D71" s="16">
        <f t="shared" ref="D71:G71" si="24">+D26-C26</f>
        <v>3745588</v>
      </c>
      <c r="E71" s="16">
        <f t="shared" si="24"/>
        <v>13369373</v>
      </c>
      <c r="F71" s="16">
        <f t="shared" si="24"/>
        <v>4973062</v>
      </c>
      <c r="G71" s="16">
        <f t="shared" si="24"/>
        <v>4358354</v>
      </c>
      <c r="H71" s="46"/>
    </row>
    <row r="72" spans="1:8" ht="16" x14ac:dyDescent="0.35">
      <c r="A72" s="45" t="s">
        <v>124</v>
      </c>
      <c r="B72" s="3" t="s">
        <v>125</v>
      </c>
      <c r="C72" s="16">
        <f>+C28-B28</f>
        <v>0</v>
      </c>
      <c r="D72" s="16">
        <f t="shared" ref="D72:G72" si="25">+D28-C28</f>
        <v>0</v>
      </c>
      <c r="E72" s="16">
        <f t="shared" si="25"/>
        <v>0</v>
      </c>
      <c r="F72" s="31">
        <f t="shared" si="25"/>
        <v>11934220</v>
      </c>
      <c r="G72" s="16">
        <f t="shared" si="25"/>
        <v>2141286</v>
      </c>
      <c r="H72" s="32"/>
    </row>
    <row r="73" spans="1:8" ht="16" x14ac:dyDescent="0.35">
      <c r="A73" s="45"/>
      <c r="B73" s="3" t="s">
        <v>126</v>
      </c>
      <c r="C73" s="16">
        <f>+C29-B29</f>
        <v>2447216</v>
      </c>
      <c r="D73" s="16">
        <f t="shared" ref="D73:G73" si="26">+D29-C29</f>
        <v>795899</v>
      </c>
      <c r="E73" s="16">
        <f t="shared" si="26"/>
        <v>5473865</v>
      </c>
      <c r="F73" s="31">
        <f t="shared" si="26"/>
        <v>-13792642</v>
      </c>
      <c r="G73" s="16">
        <f t="shared" si="26"/>
        <v>0</v>
      </c>
      <c r="H73" s="32"/>
    </row>
    <row r="74" spans="1:8" ht="16" x14ac:dyDescent="0.35">
      <c r="B74" s="2" t="s">
        <v>127</v>
      </c>
      <c r="C74" s="6">
        <f>SUM(C62:C73)</f>
        <v>-8536234</v>
      </c>
      <c r="D74" s="6">
        <f>SUM(D62:D73)</f>
        <v>53348645</v>
      </c>
      <c r="E74" s="6">
        <f>SUM(E62:E73)</f>
        <v>96081015</v>
      </c>
      <c r="F74" s="30">
        <f>SUM(F62:F73)</f>
        <v>57815296</v>
      </c>
      <c r="G74" s="6">
        <f>SUM(G62:G73)</f>
        <v>81405244</v>
      </c>
    </row>
    <row r="75" spans="1:8" ht="16" x14ac:dyDescent="0.35">
      <c r="A75" s="1" t="s">
        <v>129</v>
      </c>
      <c r="B75" s="3" t="s">
        <v>131</v>
      </c>
      <c r="C75" s="16">
        <f>+B14+B16-C14-C16-C55</f>
        <v>-7183102</v>
      </c>
      <c r="D75" s="16">
        <f>+C14+C16-D14-D16-D55</f>
        <v>-13945162</v>
      </c>
      <c r="E75" s="16">
        <f>+D14+D16-E14-E16-E55</f>
        <v>-14001433</v>
      </c>
      <c r="F75" s="31">
        <f>+E14+E16-F14-F16-F55</f>
        <v>-25014827</v>
      </c>
      <c r="G75" s="16">
        <f>+F14+F16-G14-G16-G55</f>
        <v>-18036155</v>
      </c>
      <c r="H75" s="33" t="s">
        <v>130</v>
      </c>
    </row>
    <row r="76" spans="1:8" ht="16" x14ac:dyDescent="0.35">
      <c r="A76" s="53" t="s">
        <v>132</v>
      </c>
      <c r="B76" s="3" t="s">
        <v>133</v>
      </c>
      <c r="C76" s="16">
        <f>+B15-C15</f>
        <v>886451</v>
      </c>
      <c r="D76" s="16">
        <f>+C15-D15</f>
        <v>-198115</v>
      </c>
      <c r="E76" s="16">
        <f>+D15-E15</f>
        <v>-12853707</v>
      </c>
      <c r="F76" s="16">
        <f>+E15-F15</f>
        <v>-2489769</v>
      </c>
      <c r="G76" s="16">
        <f>+F15-G15</f>
        <v>-4734606</v>
      </c>
    </row>
    <row r="77" spans="1:8" ht="16" x14ac:dyDescent="0.35">
      <c r="A77" s="53"/>
      <c r="B77" s="3" t="s">
        <v>134</v>
      </c>
      <c r="C77" s="16">
        <f t="shared" ref="C77:G79" si="27">+B17-C17</f>
        <v>-2405391</v>
      </c>
      <c r="D77" s="16">
        <f t="shared" si="27"/>
        <v>-1701251</v>
      </c>
      <c r="E77" s="16">
        <f t="shared" si="27"/>
        <v>-6835163</v>
      </c>
      <c r="F77" s="16">
        <f t="shared" si="27"/>
        <v>2550016</v>
      </c>
      <c r="G77" s="16">
        <f t="shared" si="27"/>
        <v>-4134149</v>
      </c>
    </row>
    <row r="78" spans="1:8" ht="16" x14ac:dyDescent="0.35">
      <c r="A78" s="53"/>
      <c r="B78" s="3" t="s">
        <v>135</v>
      </c>
      <c r="C78" s="16">
        <f t="shared" si="27"/>
        <v>166064</v>
      </c>
      <c r="D78" s="16">
        <f t="shared" si="27"/>
        <v>-189899</v>
      </c>
      <c r="E78" s="16">
        <f t="shared" si="27"/>
        <v>226049</v>
      </c>
      <c r="F78" s="16">
        <f t="shared" si="27"/>
        <v>-1190225</v>
      </c>
      <c r="G78" s="16">
        <f t="shared" si="27"/>
        <v>1177334</v>
      </c>
    </row>
    <row r="79" spans="1:8" ht="16" x14ac:dyDescent="0.35">
      <c r="A79" s="53"/>
      <c r="B79" s="3" t="s">
        <v>136</v>
      </c>
      <c r="C79" s="16">
        <f t="shared" si="27"/>
        <v>0</v>
      </c>
      <c r="D79" s="16">
        <f t="shared" si="27"/>
        <v>-50999</v>
      </c>
      <c r="E79" s="16">
        <f t="shared" si="27"/>
        <v>0</v>
      </c>
      <c r="F79" s="16">
        <f t="shared" si="27"/>
        <v>-1785297</v>
      </c>
      <c r="G79" s="16">
        <f t="shared" si="27"/>
        <v>0</v>
      </c>
    </row>
    <row r="80" spans="1:8" ht="16" x14ac:dyDescent="0.35">
      <c r="B80" s="2" t="s">
        <v>137</v>
      </c>
      <c r="C80" s="6">
        <f>SUM(C75:C79)</f>
        <v>-8535978</v>
      </c>
      <c r="D80" s="6">
        <f t="shared" ref="D80:G80" si="28">SUM(D75:D79)</f>
        <v>-16085426</v>
      </c>
      <c r="E80" s="6">
        <f t="shared" si="28"/>
        <v>-33464254</v>
      </c>
      <c r="F80" s="6">
        <f t="shared" si="28"/>
        <v>-27930102</v>
      </c>
      <c r="G80" s="6">
        <f t="shared" si="28"/>
        <v>-25727576</v>
      </c>
    </row>
    <row r="81" spans="1:8" ht="16" x14ac:dyDescent="0.35">
      <c r="A81" s="45" t="s">
        <v>138</v>
      </c>
      <c r="B81" s="3" t="s">
        <v>139</v>
      </c>
      <c r="C81" s="16">
        <f>+C25-B25</f>
        <v>1478305</v>
      </c>
      <c r="D81" s="16">
        <f>+D25-C25</f>
        <v>-788293</v>
      </c>
      <c r="E81" s="36">
        <f>+E25-D25</f>
        <v>8831132</v>
      </c>
      <c r="F81" s="16">
        <f>+F25-E25</f>
        <v>-10122166</v>
      </c>
      <c r="G81" s="16">
        <f>+G25-F25</f>
        <v>1202333</v>
      </c>
    </row>
    <row r="82" spans="1:8" ht="16" x14ac:dyDescent="0.35">
      <c r="A82" s="45"/>
      <c r="B82" s="3" t="s">
        <v>140</v>
      </c>
      <c r="C82" s="16">
        <f>+C30-B30</f>
        <v>22885266</v>
      </c>
      <c r="D82" s="16">
        <f>+D30-C30</f>
        <v>-9164214</v>
      </c>
      <c r="E82" s="36">
        <f>+E30-D30</f>
        <v>30269650</v>
      </c>
      <c r="F82" s="16">
        <f>+F30-E30</f>
        <v>-757177</v>
      </c>
      <c r="G82" s="16">
        <f>+G30-F30</f>
        <v>-13066913</v>
      </c>
    </row>
    <row r="83" spans="1:8" ht="16" x14ac:dyDescent="0.35">
      <c r="A83" s="45" t="s">
        <v>141</v>
      </c>
      <c r="B83" s="3" t="s">
        <v>142</v>
      </c>
      <c r="C83" s="16">
        <f>+C33-B33</f>
        <v>0</v>
      </c>
      <c r="D83" s="16">
        <f t="shared" ref="D83:G83" si="29">+D33-C33</f>
        <v>0</v>
      </c>
      <c r="E83" s="16">
        <f t="shared" si="29"/>
        <v>0</v>
      </c>
      <c r="F83" s="16">
        <f t="shared" si="29"/>
        <v>0</v>
      </c>
      <c r="G83" s="16">
        <f t="shared" si="29"/>
        <v>0</v>
      </c>
    </row>
    <row r="84" spans="1:8" ht="16" x14ac:dyDescent="0.35">
      <c r="A84" s="45"/>
      <c r="B84" s="3" t="s">
        <v>143</v>
      </c>
      <c r="C84" s="31">
        <f>+C34-B34</f>
        <v>15000000</v>
      </c>
      <c r="D84" s="31">
        <f>+D34-C34</f>
        <v>-15000000</v>
      </c>
      <c r="E84" s="16">
        <f>+E34-D34</f>
        <v>0</v>
      </c>
      <c r="F84" s="16">
        <f>+F34-E34</f>
        <v>0</v>
      </c>
      <c r="G84" s="16">
        <f>+G34-F34</f>
        <v>0</v>
      </c>
    </row>
    <row r="85" spans="1:8" ht="16" x14ac:dyDescent="0.35">
      <c r="B85" s="3" t="s">
        <v>144</v>
      </c>
      <c r="C85" s="37">
        <f>-(B35+C53-C35)</f>
        <v>-15000000</v>
      </c>
      <c r="D85" s="16">
        <f>-(C35+D53-D35-IF(D34&gt;C34,D34-C34,0))</f>
        <v>-7219396</v>
      </c>
      <c r="E85" s="16">
        <f>-(D35+E53-E35-IF(E34&gt;D34,E34-D34,0))</f>
        <v>-75126682</v>
      </c>
      <c r="F85" s="16">
        <f>-(E35+F53-F35-IF(F34&gt;E34,F34-E34,0))</f>
        <v>-15660000</v>
      </c>
      <c r="G85" s="36">
        <f>-(F35+G53-G35-IF(G34&gt;F34,G34-F34,0))</f>
        <v>-30000000</v>
      </c>
    </row>
    <row r="86" spans="1:8" ht="16" x14ac:dyDescent="0.35">
      <c r="A86" s="34" t="s">
        <v>145</v>
      </c>
      <c r="B86" s="35" t="s">
        <v>146</v>
      </c>
      <c r="C86" s="16">
        <f>-C50</f>
        <v>-4997282</v>
      </c>
      <c r="D86" s="16">
        <f>-D50</f>
        <v>-6707993</v>
      </c>
      <c r="E86" s="16">
        <f>-E50</f>
        <v>-9879978</v>
      </c>
      <c r="F86" s="16">
        <f>-F50</f>
        <v>-21157763</v>
      </c>
      <c r="G86" s="16">
        <f>-G50</f>
        <v>-15660641</v>
      </c>
    </row>
    <row r="87" spans="1:8" ht="16" x14ac:dyDescent="0.35">
      <c r="A87" s="34" t="s">
        <v>147</v>
      </c>
      <c r="B87" s="35" t="s">
        <v>148</v>
      </c>
      <c r="C87" s="16">
        <f>+C49</f>
        <v>1532020</v>
      </c>
      <c r="D87" s="16">
        <f>+D49</f>
        <v>1512106</v>
      </c>
      <c r="E87" s="16">
        <f>+E49</f>
        <v>7592851</v>
      </c>
      <c r="F87" s="16">
        <f>+F49</f>
        <v>2808638</v>
      </c>
      <c r="G87" s="16">
        <f>+G49</f>
        <v>5985087</v>
      </c>
    </row>
    <row r="88" spans="1:8" ht="16" x14ac:dyDescent="0.35">
      <c r="B88" s="2" t="s">
        <v>152</v>
      </c>
      <c r="C88" s="6">
        <f>SUM(C81:C87)</f>
        <v>20898309</v>
      </c>
      <c r="D88" s="6">
        <f t="shared" ref="D88:G88" si="30">SUM(D81:D87)</f>
        <v>-37367790</v>
      </c>
      <c r="E88" s="6">
        <f t="shared" si="30"/>
        <v>-38313027</v>
      </c>
      <c r="F88" s="6">
        <f t="shared" si="30"/>
        <v>-44888468</v>
      </c>
      <c r="G88" s="6">
        <f t="shared" si="30"/>
        <v>-51540134</v>
      </c>
    </row>
    <row r="90" spans="1:8" ht="16" x14ac:dyDescent="0.35">
      <c r="A90" s="47" t="s">
        <v>149</v>
      </c>
      <c r="B90" s="48"/>
      <c r="C90" s="6">
        <f>+C74+C80+C88</f>
        <v>3826097</v>
      </c>
      <c r="D90" s="6">
        <f t="shared" ref="D90:G90" si="31">+D74+D80+D88</f>
        <v>-104571</v>
      </c>
      <c r="E90" s="6">
        <f t="shared" si="31"/>
        <v>24303734</v>
      </c>
      <c r="F90" s="6">
        <f t="shared" si="31"/>
        <v>-15003274</v>
      </c>
      <c r="G90" s="6">
        <f t="shared" si="31"/>
        <v>4137534</v>
      </c>
    </row>
    <row r="91" spans="1:8" ht="16" x14ac:dyDescent="0.35">
      <c r="A91" s="49" t="s">
        <v>150</v>
      </c>
      <c r="B91" s="50"/>
      <c r="C91" s="5">
        <f>+B7</f>
        <v>27563075</v>
      </c>
      <c r="D91" s="5">
        <f t="shared" ref="D91:G91" si="32">+C7</f>
        <v>31389172</v>
      </c>
      <c r="E91" s="5">
        <f t="shared" si="32"/>
        <v>31284601</v>
      </c>
      <c r="F91" s="5">
        <f t="shared" si="32"/>
        <v>55588335</v>
      </c>
      <c r="G91" s="5">
        <f t="shared" si="32"/>
        <v>40585061</v>
      </c>
    </row>
    <row r="92" spans="1:8" ht="16" x14ac:dyDescent="0.35">
      <c r="A92" s="51" t="s">
        <v>151</v>
      </c>
      <c r="B92" s="52"/>
      <c r="C92" s="6">
        <f>SUM(C90:C91)</f>
        <v>31389172</v>
      </c>
      <c r="D92" s="6">
        <f t="shared" ref="D92:G92" si="33">SUM(D90:D91)</f>
        <v>31284601</v>
      </c>
      <c r="E92" s="6">
        <f t="shared" si="33"/>
        <v>55588335</v>
      </c>
      <c r="F92" s="6">
        <f t="shared" si="33"/>
        <v>40585061</v>
      </c>
      <c r="G92" s="6">
        <f t="shared" si="33"/>
        <v>44722595</v>
      </c>
      <c r="H92" s="12"/>
    </row>
    <row r="93" spans="1:8" x14ac:dyDescent="0.35">
      <c r="B93" s="25"/>
      <c r="C93" s="25" t="b">
        <f>+C92=C7</f>
        <v>1</v>
      </c>
      <c r="D93" s="25" t="b">
        <f>+D92=D7</f>
        <v>1</v>
      </c>
      <c r="E93" s="25" t="b">
        <f t="shared" ref="E93:G93" si="34">+E92=E7</f>
        <v>1</v>
      </c>
      <c r="F93" s="25" t="b">
        <f t="shared" si="34"/>
        <v>1</v>
      </c>
      <c r="G93" s="25" t="b">
        <f t="shared" si="34"/>
        <v>1</v>
      </c>
    </row>
  </sheetData>
  <mergeCells count="11">
    <mergeCell ref="A90:B90"/>
    <mergeCell ref="A91:B91"/>
    <mergeCell ref="A92:B92"/>
    <mergeCell ref="A76:A79"/>
    <mergeCell ref="A81:A82"/>
    <mergeCell ref="A83:A84"/>
    <mergeCell ref="A63:A65"/>
    <mergeCell ref="A66:A68"/>
    <mergeCell ref="A69:A71"/>
    <mergeCell ref="A72:A73"/>
    <mergeCell ref="H69:H71"/>
  </mergeCells>
  <pageMargins left="0.7" right="0.7" top="0.75" bottom="0.75" header="0.3" footer="0.3"/>
  <ignoredErrors>
    <ignoredError sqref="B13:G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</vt:lpstr>
      <vt:lpstr>Flujo de Efectivo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Jimenez</dc:creator>
  <cp:lastModifiedBy>Miguel Jimenez</cp:lastModifiedBy>
  <dcterms:created xsi:type="dcterms:W3CDTF">2025-11-22T17:41:46Z</dcterms:created>
  <dcterms:modified xsi:type="dcterms:W3CDTF">2025-11-24T14:38:58Z</dcterms:modified>
</cp:coreProperties>
</file>