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Excel\"/>
    </mc:Choice>
  </mc:AlternateContent>
  <xr:revisionPtr revIDLastSave="0" documentId="13_ncr:1_{B704DE5A-471C-4901-B011-643B6E1C97C7}" xr6:coauthVersionLast="47" xr6:coauthVersionMax="47" xr10:uidLastSave="{00000000-0000-0000-0000-000000000000}"/>
  <bookViews>
    <workbookView xWindow="-120" yWindow="-120" windowWidth="29040" windowHeight="15840" xr2:uid="{F077508C-E2F9-4111-9BDF-1358E78F5F9A}"/>
  </bookViews>
  <sheets>
    <sheet name="K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0" i="1" l="1"/>
  <c r="T60" i="1"/>
  <c r="U60" i="1"/>
  <c r="R60" i="1"/>
  <c r="C90" i="1" l="1"/>
  <c r="D90" i="1"/>
  <c r="E90" i="1"/>
  <c r="C91" i="1"/>
  <c r="D91" i="1"/>
  <c r="E91" i="1"/>
  <c r="B91" i="1"/>
  <c r="B90" i="1"/>
  <c r="C89" i="1"/>
  <c r="D89" i="1"/>
  <c r="E89" i="1"/>
  <c r="B89" i="1"/>
  <c r="C96" i="1"/>
  <c r="D96" i="1"/>
  <c r="E96" i="1"/>
  <c r="C97" i="1"/>
  <c r="D97" i="1"/>
  <c r="E97" i="1"/>
  <c r="C98" i="1"/>
  <c r="D98" i="1"/>
  <c r="E98" i="1"/>
  <c r="B98" i="1"/>
  <c r="B97" i="1"/>
  <c r="B96" i="1"/>
  <c r="D81" i="1"/>
  <c r="E81" i="1"/>
  <c r="C81" i="1"/>
  <c r="C77" i="1"/>
  <c r="D77" i="1"/>
  <c r="E77" i="1"/>
  <c r="B77" i="1"/>
  <c r="D78" i="1" l="1"/>
  <c r="E78" i="1"/>
  <c r="E92" i="1"/>
  <c r="B92" i="1"/>
  <c r="C92" i="1"/>
  <c r="D92" i="1"/>
  <c r="C78" i="1"/>
  <c r="E93" i="1" l="1"/>
  <c r="S65" i="1"/>
  <c r="T65" i="1"/>
  <c r="U65" i="1"/>
  <c r="R65" i="1"/>
  <c r="S59" i="1"/>
  <c r="T59" i="1"/>
  <c r="U59" i="1"/>
  <c r="R59" i="1"/>
  <c r="S53" i="1"/>
  <c r="T53" i="1"/>
  <c r="U53" i="1"/>
  <c r="R53" i="1"/>
  <c r="S43" i="1"/>
  <c r="C87" i="1" s="1"/>
  <c r="T43" i="1"/>
  <c r="D87" i="1" s="1"/>
  <c r="U43" i="1"/>
  <c r="E87" i="1" s="1"/>
  <c r="R43" i="1"/>
  <c r="B87" i="1" s="1"/>
  <c r="B99" i="1" s="1"/>
  <c r="T30" i="1"/>
  <c r="U30" i="1"/>
  <c r="S30" i="1"/>
  <c r="S28" i="1"/>
  <c r="T28" i="1"/>
  <c r="U28" i="1"/>
  <c r="U29" i="1" s="1"/>
  <c r="R28" i="1"/>
  <c r="S22" i="1"/>
  <c r="S23" i="1" s="1"/>
  <c r="S24" i="1" s="1"/>
  <c r="C103" i="1" s="1"/>
  <c r="T22" i="1"/>
  <c r="T23" i="1" s="1"/>
  <c r="T24" i="1" s="1"/>
  <c r="D103" i="1" s="1"/>
  <c r="R22" i="1"/>
  <c r="R23" i="1" s="1"/>
  <c r="R24" i="1" s="1"/>
  <c r="B103" i="1" s="1"/>
  <c r="S16" i="1"/>
  <c r="S17" i="1" s="1"/>
  <c r="S18" i="1" s="1"/>
  <c r="C102" i="1" s="1"/>
  <c r="T16" i="1"/>
  <c r="T17" i="1" s="1"/>
  <c r="T18" i="1" s="1"/>
  <c r="D102" i="1" s="1"/>
  <c r="R16" i="1"/>
  <c r="R17" i="1" s="1"/>
  <c r="R18" i="1" s="1"/>
  <c r="B102" i="1" s="1"/>
  <c r="S10" i="1"/>
  <c r="T10" i="1"/>
  <c r="U10" i="1"/>
  <c r="R10" i="1"/>
  <c r="M48" i="1"/>
  <c r="N48" i="1"/>
  <c r="O48" i="1"/>
  <c r="M51" i="1"/>
  <c r="N51" i="1"/>
  <c r="O51" i="1"/>
  <c r="M52" i="1"/>
  <c r="N52" i="1"/>
  <c r="O52" i="1"/>
  <c r="M53" i="1"/>
  <c r="N53" i="1"/>
  <c r="M56" i="1"/>
  <c r="N56" i="1"/>
  <c r="O56" i="1"/>
  <c r="M57" i="1"/>
  <c r="N57" i="1"/>
  <c r="O57" i="1"/>
  <c r="M59" i="1"/>
  <c r="N59" i="1"/>
  <c r="O59" i="1"/>
  <c r="N47" i="1"/>
  <c r="D66" i="1" s="1"/>
  <c r="O47" i="1"/>
  <c r="E66" i="1" s="1"/>
  <c r="M47" i="1"/>
  <c r="C66" i="1" s="1"/>
  <c r="J48" i="1"/>
  <c r="K48" i="1"/>
  <c r="L48" i="1"/>
  <c r="J51" i="1"/>
  <c r="K51" i="1"/>
  <c r="L51" i="1"/>
  <c r="J52" i="1"/>
  <c r="K52" i="1"/>
  <c r="L52" i="1"/>
  <c r="J53" i="1"/>
  <c r="K53" i="1"/>
  <c r="J54" i="1"/>
  <c r="K54" i="1"/>
  <c r="J56" i="1"/>
  <c r="K56" i="1"/>
  <c r="L56" i="1"/>
  <c r="J57" i="1"/>
  <c r="K57" i="1"/>
  <c r="L57" i="1"/>
  <c r="J59" i="1"/>
  <c r="K59" i="1"/>
  <c r="L59" i="1"/>
  <c r="K47" i="1"/>
  <c r="L47" i="1"/>
  <c r="J47" i="1"/>
  <c r="G47" i="1"/>
  <c r="H47" i="1"/>
  <c r="I47" i="1"/>
  <c r="G48" i="1"/>
  <c r="H48" i="1"/>
  <c r="I48" i="1"/>
  <c r="G51" i="1"/>
  <c r="H51" i="1"/>
  <c r="I51" i="1"/>
  <c r="G52" i="1"/>
  <c r="H52" i="1"/>
  <c r="I52" i="1"/>
  <c r="G53" i="1"/>
  <c r="G54" i="1"/>
  <c r="G56" i="1"/>
  <c r="H56" i="1"/>
  <c r="I56" i="1"/>
  <c r="G57" i="1"/>
  <c r="H57" i="1"/>
  <c r="I57" i="1"/>
  <c r="G59" i="1"/>
  <c r="H59" i="1"/>
  <c r="I59" i="1"/>
  <c r="F48" i="1"/>
  <c r="F51" i="1"/>
  <c r="F52" i="1"/>
  <c r="F53" i="1"/>
  <c r="F56" i="1"/>
  <c r="F57" i="1"/>
  <c r="F59" i="1"/>
  <c r="F47" i="1"/>
  <c r="M6" i="1"/>
  <c r="N6" i="1"/>
  <c r="O6" i="1"/>
  <c r="M7" i="1"/>
  <c r="N7" i="1"/>
  <c r="O7" i="1"/>
  <c r="M8" i="1"/>
  <c r="N8" i="1"/>
  <c r="O8" i="1"/>
  <c r="M9" i="1"/>
  <c r="O9" i="1"/>
  <c r="M13" i="1"/>
  <c r="N13" i="1"/>
  <c r="O13" i="1"/>
  <c r="M15" i="1"/>
  <c r="N15" i="1"/>
  <c r="O15" i="1"/>
  <c r="M23" i="1"/>
  <c r="N23" i="1"/>
  <c r="O23" i="1"/>
  <c r="M25" i="1"/>
  <c r="N25" i="1"/>
  <c r="O25" i="1"/>
  <c r="M26" i="1"/>
  <c r="N26" i="1"/>
  <c r="O26" i="1"/>
  <c r="O27" i="1"/>
  <c r="M33" i="1"/>
  <c r="N33" i="1"/>
  <c r="O33" i="1"/>
  <c r="O34" i="1"/>
  <c r="M38" i="1"/>
  <c r="N38" i="1"/>
  <c r="O38" i="1"/>
  <c r="M39" i="1"/>
  <c r="N39" i="1"/>
  <c r="O39" i="1"/>
  <c r="M40" i="1"/>
  <c r="N40" i="1"/>
  <c r="O40" i="1"/>
  <c r="M41" i="1"/>
  <c r="N41" i="1"/>
  <c r="O41" i="1"/>
  <c r="N5" i="1"/>
  <c r="O5" i="1"/>
  <c r="M5" i="1"/>
  <c r="J6" i="1"/>
  <c r="K6" i="1"/>
  <c r="L6" i="1"/>
  <c r="J7" i="1"/>
  <c r="K7" i="1"/>
  <c r="L7" i="1"/>
  <c r="J8" i="1"/>
  <c r="K8" i="1"/>
  <c r="L8" i="1"/>
  <c r="J9" i="1"/>
  <c r="K9" i="1"/>
  <c r="L9" i="1"/>
  <c r="J13" i="1"/>
  <c r="K13" i="1"/>
  <c r="L13" i="1"/>
  <c r="J15" i="1"/>
  <c r="K15" i="1"/>
  <c r="L15" i="1"/>
  <c r="J23" i="1"/>
  <c r="K23" i="1"/>
  <c r="L23" i="1"/>
  <c r="J25" i="1"/>
  <c r="K25" i="1"/>
  <c r="L25" i="1"/>
  <c r="J26" i="1"/>
  <c r="K26" i="1"/>
  <c r="L26" i="1"/>
  <c r="K27" i="1"/>
  <c r="L27" i="1"/>
  <c r="J33" i="1"/>
  <c r="K33" i="1"/>
  <c r="L33" i="1"/>
  <c r="K34" i="1"/>
  <c r="L34" i="1"/>
  <c r="J38" i="1"/>
  <c r="K38" i="1"/>
  <c r="L38" i="1"/>
  <c r="J39" i="1"/>
  <c r="K39" i="1"/>
  <c r="L39" i="1"/>
  <c r="J40" i="1"/>
  <c r="K40" i="1"/>
  <c r="L40" i="1"/>
  <c r="J41" i="1"/>
  <c r="K41" i="1"/>
  <c r="L41" i="1"/>
  <c r="K5" i="1"/>
  <c r="L5" i="1"/>
  <c r="J5" i="1"/>
  <c r="E99" i="1" l="1"/>
  <c r="E88" i="1"/>
  <c r="D99" i="1"/>
  <c r="D88" i="1"/>
  <c r="C99" i="1"/>
  <c r="C88" i="1"/>
  <c r="U31" i="1"/>
  <c r="U32" i="1" s="1"/>
  <c r="B67" i="1"/>
  <c r="U11" i="1"/>
  <c r="U12" i="1" s="1"/>
  <c r="D109" i="1" s="1"/>
  <c r="T11" i="1"/>
  <c r="T12" i="1" s="1"/>
  <c r="C109" i="1" s="1"/>
  <c r="S11" i="1"/>
  <c r="S12" i="1" s="1"/>
  <c r="B109" i="1" s="1"/>
  <c r="T29" i="1"/>
  <c r="T31" i="1" s="1"/>
  <c r="T32" i="1" s="1"/>
  <c r="R25" i="1"/>
  <c r="S44" i="1"/>
  <c r="T44" i="1"/>
  <c r="D76" i="1" s="1"/>
  <c r="S29" i="1"/>
  <c r="S31" i="1" s="1"/>
  <c r="S32" i="1" s="1"/>
  <c r="B104" i="1" s="1"/>
  <c r="B105" i="1" s="1"/>
  <c r="U44" i="1"/>
  <c r="E76" i="1" s="1"/>
  <c r="R19" i="1"/>
  <c r="S45" i="1" l="1"/>
  <c r="C76" i="1"/>
  <c r="U35" i="1"/>
  <c r="D104" i="1"/>
  <c r="D105" i="1" s="1"/>
  <c r="T35" i="1"/>
  <c r="C104" i="1"/>
  <c r="C105" i="1" s="1"/>
  <c r="R13" i="1"/>
  <c r="R33" i="1"/>
  <c r="S35" i="1"/>
  <c r="T45" i="1"/>
  <c r="U45" i="1"/>
  <c r="C49" i="1"/>
  <c r="D49" i="1"/>
  <c r="E49" i="1"/>
  <c r="B49" i="1"/>
  <c r="F49" i="1" s="1"/>
  <c r="C42" i="1"/>
  <c r="D42" i="1"/>
  <c r="E42" i="1"/>
  <c r="B42" i="1"/>
  <c r="C36" i="1"/>
  <c r="D36" i="1"/>
  <c r="E36" i="1"/>
  <c r="B36" i="1"/>
  <c r="C29" i="1"/>
  <c r="D29" i="1"/>
  <c r="E29" i="1"/>
  <c r="B29" i="1"/>
  <c r="C21" i="1"/>
  <c r="D21" i="1"/>
  <c r="E21" i="1"/>
  <c r="B21" i="1"/>
  <c r="C11" i="1"/>
  <c r="D11" i="1"/>
  <c r="E11" i="1"/>
  <c r="B11" i="1"/>
  <c r="O21" i="1" l="1"/>
  <c r="L21" i="1"/>
  <c r="K42" i="1"/>
  <c r="N42" i="1"/>
  <c r="U62" i="1"/>
  <c r="B37" i="1"/>
  <c r="R51" i="1"/>
  <c r="G49" i="1"/>
  <c r="J49" i="1"/>
  <c r="M49" i="1"/>
  <c r="O42" i="1"/>
  <c r="L42" i="1"/>
  <c r="B68" i="1"/>
  <c r="R70" i="1"/>
  <c r="I49" i="1"/>
  <c r="L49" i="1"/>
  <c r="O49" i="1"/>
  <c r="H49" i="1"/>
  <c r="K49" i="1"/>
  <c r="N49" i="1"/>
  <c r="B55" i="1"/>
  <c r="N36" i="1"/>
  <c r="K36" i="1"/>
  <c r="E55" i="1"/>
  <c r="U76" i="1" s="1"/>
  <c r="N21" i="1"/>
  <c r="K21" i="1"/>
  <c r="M42" i="1"/>
  <c r="T62" i="1"/>
  <c r="J42" i="1"/>
  <c r="E37" i="1"/>
  <c r="O29" i="1"/>
  <c r="U51" i="1"/>
  <c r="L29" i="1"/>
  <c r="D37" i="1"/>
  <c r="N29" i="1"/>
  <c r="T51" i="1"/>
  <c r="K29" i="1"/>
  <c r="C37" i="1"/>
  <c r="M29" i="1"/>
  <c r="S51" i="1"/>
  <c r="J29" i="1"/>
  <c r="B22" i="1"/>
  <c r="F11" i="1" s="1"/>
  <c r="R50" i="1"/>
  <c r="R38" i="1"/>
  <c r="E22" i="1"/>
  <c r="I11" i="1" s="1"/>
  <c r="U50" i="1"/>
  <c r="O11" i="1"/>
  <c r="U38" i="1"/>
  <c r="U52" i="1" s="1"/>
  <c r="L11" i="1"/>
  <c r="C55" i="1"/>
  <c r="M36" i="1"/>
  <c r="J36" i="1"/>
  <c r="D55" i="1"/>
  <c r="M21" i="1"/>
  <c r="J21" i="1"/>
  <c r="O36" i="1"/>
  <c r="L36" i="1"/>
  <c r="D22" i="1"/>
  <c r="H21" i="1" s="1"/>
  <c r="N11" i="1"/>
  <c r="T38" i="1"/>
  <c r="K11" i="1"/>
  <c r="T50" i="1"/>
  <c r="C22" i="1"/>
  <c r="G42" i="1" s="1"/>
  <c r="M11" i="1"/>
  <c r="S38" i="1"/>
  <c r="J11" i="1"/>
  <c r="S50" i="1"/>
  <c r="S62" i="1"/>
  <c r="I36" i="1" l="1"/>
  <c r="T76" i="1"/>
  <c r="D83" i="1" s="1"/>
  <c r="S76" i="1"/>
  <c r="C83" i="1" s="1"/>
  <c r="G11" i="1"/>
  <c r="G36" i="1"/>
  <c r="H11" i="1"/>
  <c r="F29" i="1"/>
  <c r="H29" i="1"/>
  <c r="H42" i="1"/>
  <c r="F36" i="1"/>
  <c r="C43" i="1"/>
  <c r="S57" i="1"/>
  <c r="M37" i="1"/>
  <c r="T58" i="1"/>
  <c r="T84" i="1" s="1"/>
  <c r="G37" i="1"/>
  <c r="J37" i="1"/>
  <c r="C68" i="1"/>
  <c r="S70" i="1"/>
  <c r="S52" i="1"/>
  <c r="T39" i="1"/>
  <c r="T40" i="1" s="1"/>
  <c r="D68" i="1"/>
  <c r="T70" i="1"/>
  <c r="D58" i="1"/>
  <c r="T63" i="1"/>
  <c r="H55" i="1"/>
  <c r="D63" i="1"/>
  <c r="N55" i="1"/>
  <c r="K55" i="1"/>
  <c r="G15" i="1"/>
  <c r="G5" i="1"/>
  <c r="G8" i="1"/>
  <c r="G26" i="1"/>
  <c r="G22" i="1"/>
  <c r="S5" i="1"/>
  <c r="S6" i="1" s="1"/>
  <c r="J22" i="1"/>
  <c r="G41" i="1"/>
  <c r="G38" i="1"/>
  <c r="M22" i="1"/>
  <c r="G6" i="1"/>
  <c r="G13" i="1"/>
  <c r="G23" i="1"/>
  <c r="S61" i="1"/>
  <c r="G40" i="1"/>
  <c r="G7" i="1"/>
  <c r="G33" i="1"/>
  <c r="G25" i="1"/>
  <c r="G39" i="1"/>
  <c r="I38" i="1"/>
  <c r="I34" i="1"/>
  <c r="I7" i="1"/>
  <c r="I33" i="1"/>
  <c r="I8" i="1"/>
  <c r="I15" i="1"/>
  <c r="I25" i="1"/>
  <c r="I39" i="1"/>
  <c r="I40" i="1"/>
  <c r="O22" i="1"/>
  <c r="I5" i="1"/>
  <c r="I27" i="1"/>
  <c r="I22" i="1"/>
  <c r="I26" i="1"/>
  <c r="L22" i="1"/>
  <c r="I41" i="1"/>
  <c r="I6" i="1"/>
  <c r="I13" i="1"/>
  <c r="I23" i="1"/>
  <c r="U61" i="1"/>
  <c r="B43" i="1"/>
  <c r="F43" i="1" s="1"/>
  <c r="F37" i="1"/>
  <c r="S58" i="1"/>
  <c r="S84" i="1" s="1"/>
  <c r="R57" i="1"/>
  <c r="G21" i="1"/>
  <c r="S39" i="1"/>
  <c r="S40" i="1" s="1"/>
  <c r="R52" i="1"/>
  <c r="E68" i="1"/>
  <c r="U70" i="1"/>
  <c r="U39" i="1"/>
  <c r="U40" i="1" s="1"/>
  <c r="T52" i="1"/>
  <c r="F33" i="1"/>
  <c r="F38" i="1"/>
  <c r="F39" i="1"/>
  <c r="F5" i="1"/>
  <c r="F40" i="1"/>
  <c r="F15" i="1"/>
  <c r="F41" i="1"/>
  <c r="R5" i="1"/>
  <c r="R6" i="1" s="1"/>
  <c r="B108" i="1" s="1"/>
  <c r="F22" i="1"/>
  <c r="F23" i="1"/>
  <c r="F7" i="1"/>
  <c r="F13" i="1"/>
  <c r="F25" i="1"/>
  <c r="F6" i="1"/>
  <c r="F26" i="1"/>
  <c r="F8" i="1"/>
  <c r="F9" i="1"/>
  <c r="R61" i="1"/>
  <c r="D43" i="1"/>
  <c r="T57" i="1"/>
  <c r="U58" i="1"/>
  <c r="U84" i="1" s="1"/>
  <c r="H37" i="1"/>
  <c r="K37" i="1"/>
  <c r="N37" i="1"/>
  <c r="F42" i="1"/>
  <c r="I29" i="1"/>
  <c r="I42" i="1"/>
  <c r="F21" i="1"/>
  <c r="H15" i="1"/>
  <c r="H25" i="1"/>
  <c r="H34" i="1"/>
  <c r="H39" i="1"/>
  <c r="H40" i="1"/>
  <c r="H9" i="1"/>
  <c r="T5" i="1"/>
  <c r="T6" i="1" s="1"/>
  <c r="U83" i="1" s="1"/>
  <c r="N22" i="1"/>
  <c r="H5" i="1"/>
  <c r="H27" i="1"/>
  <c r="H22" i="1"/>
  <c r="K22" i="1"/>
  <c r="H26" i="1"/>
  <c r="H41" i="1"/>
  <c r="H6" i="1"/>
  <c r="H13" i="1"/>
  <c r="H23" i="1"/>
  <c r="H38" i="1"/>
  <c r="H7" i="1"/>
  <c r="H33" i="1"/>
  <c r="H8" i="1"/>
  <c r="T61" i="1"/>
  <c r="C58" i="1"/>
  <c r="S63" i="1"/>
  <c r="G55" i="1"/>
  <c r="C63" i="1"/>
  <c r="M55" i="1"/>
  <c r="J55" i="1"/>
  <c r="G29" i="1"/>
  <c r="H36" i="1"/>
  <c r="I21" i="1"/>
  <c r="E83" i="1"/>
  <c r="L55" i="1"/>
  <c r="U63" i="1"/>
  <c r="I55" i="1"/>
  <c r="E63" i="1"/>
  <c r="O55" i="1"/>
  <c r="E58" i="1"/>
  <c r="E43" i="1"/>
  <c r="O37" i="1"/>
  <c r="L37" i="1"/>
  <c r="U57" i="1"/>
  <c r="I37" i="1"/>
  <c r="B58" i="1"/>
  <c r="R63" i="1"/>
  <c r="B63" i="1"/>
  <c r="F55" i="1"/>
  <c r="U71" i="1" l="1"/>
  <c r="E70" i="1"/>
  <c r="R71" i="1"/>
  <c r="B70" i="1"/>
  <c r="T71" i="1"/>
  <c r="D70" i="1"/>
  <c r="S71" i="1"/>
  <c r="C70" i="1"/>
  <c r="D108" i="1"/>
  <c r="T83" i="1"/>
  <c r="C108" i="1"/>
  <c r="E94" i="1"/>
  <c r="E80" i="1"/>
  <c r="D94" i="1"/>
  <c r="D80" i="1"/>
  <c r="C94" i="1"/>
  <c r="C80" i="1"/>
  <c r="B79" i="1"/>
  <c r="B94" i="1"/>
  <c r="D79" i="1"/>
  <c r="E79" i="1"/>
  <c r="B69" i="1"/>
  <c r="C79" i="1"/>
  <c r="H43" i="1"/>
  <c r="K43" i="1"/>
  <c r="N43" i="1"/>
  <c r="O63" i="1"/>
  <c r="I63" i="1"/>
  <c r="U64" i="1"/>
  <c r="L63" i="1"/>
  <c r="B60" i="1"/>
  <c r="F60" i="1" s="1"/>
  <c r="F58" i="1"/>
  <c r="L43" i="1"/>
  <c r="O43" i="1"/>
  <c r="I43" i="1"/>
  <c r="M63" i="1"/>
  <c r="S64" i="1"/>
  <c r="G63" i="1"/>
  <c r="J63" i="1"/>
  <c r="K63" i="1"/>
  <c r="T64" i="1"/>
  <c r="H63" i="1"/>
  <c r="N63" i="1"/>
  <c r="E60" i="1"/>
  <c r="O58" i="1"/>
  <c r="L58" i="1"/>
  <c r="I58" i="1"/>
  <c r="S83" i="1"/>
  <c r="R7" i="1"/>
  <c r="F63" i="1"/>
  <c r="R64" i="1"/>
  <c r="C60" i="1"/>
  <c r="M58" i="1"/>
  <c r="J58" i="1"/>
  <c r="G58" i="1"/>
  <c r="D60" i="1"/>
  <c r="N58" i="1"/>
  <c r="K58" i="1"/>
  <c r="H58" i="1"/>
  <c r="G43" i="1"/>
  <c r="J43" i="1"/>
  <c r="M43" i="1"/>
  <c r="B71" i="1" l="1"/>
  <c r="R74" i="1"/>
  <c r="B74" i="1"/>
  <c r="S73" i="1"/>
  <c r="C72" i="1"/>
  <c r="U73" i="1"/>
  <c r="E72" i="1"/>
  <c r="R73" i="1"/>
  <c r="B72" i="1"/>
  <c r="T73" i="1"/>
  <c r="D72" i="1"/>
  <c r="T78" i="1"/>
  <c r="D85" i="1" s="1"/>
  <c r="T77" i="1"/>
  <c r="D84" i="1" s="1"/>
  <c r="N60" i="1"/>
  <c r="K60" i="1"/>
  <c r="H60" i="1"/>
  <c r="U78" i="1"/>
  <c r="E85" i="1" s="1"/>
  <c r="U77" i="1"/>
  <c r="E84" i="1" s="1"/>
  <c r="O60" i="1"/>
  <c r="L60" i="1"/>
  <c r="I60" i="1"/>
  <c r="S78" i="1"/>
  <c r="C85" i="1" s="1"/>
  <c r="S77" i="1"/>
  <c r="C84" i="1" s="1"/>
  <c r="M60" i="1"/>
  <c r="J60" i="1"/>
  <c r="G60" i="1"/>
  <c r="S74" i="1" l="1"/>
  <c r="S82" i="1" s="1"/>
  <c r="S85" i="1" s="1"/>
  <c r="S86" i="1" s="1"/>
  <c r="C74" i="1"/>
  <c r="U74" i="1"/>
  <c r="E74" i="1"/>
  <c r="T74" i="1"/>
  <c r="T82" i="1" s="1"/>
  <c r="T85" i="1" s="1"/>
  <c r="T86" i="1" s="1"/>
  <c r="D74" i="1"/>
  <c r="B73" i="1"/>
  <c r="U85" i="1" l="1"/>
  <c r="U86" i="1" s="1"/>
  <c r="U82" i="1"/>
  <c r="B75" i="1"/>
</calcChain>
</file>

<file path=xl/sharedStrings.xml><?xml version="1.0" encoding="utf-8"?>
<sst xmlns="http://schemas.openxmlformats.org/spreadsheetml/2006/main" count="171" uniqueCount="138">
  <si>
    <t>Costo de ventas</t>
  </si>
  <si>
    <t>Ganancia bruta</t>
  </si>
  <si>
    <t>Otros ingresos</t>
  </si>
  <si>
    <t>Gastos de ventas</t>
  </si>
  <si>
    <t>Gastos de administración</t>
  </si>
  <si>
    <t>Otros gastos</t>
  </si>
  <si>
    <t>Otras ganancias (pérdidas)</t>
  </si>
  <si>
    <t>Ingresos financieros</t>
  </si>
  <si>
    <t>Costos financieros</t>
  </si>
  <si>
    <t>Ganancia (pérdida), antes de impuestos</t>
  </si>
  <si>
    <t>Ingreso (gasto) por impuestos</t>
  </si>
  <si>
    <t>Ganancia (pérdida)</t>
  </si>
  <si>
    <t>KIMBERLY CLARK ANTIOQUIA GLOBAL LTDA</t>
  </si>
  <si>
    <t>C1709 - Fabricación de otros artículos de papel y cartón</t>
  </si>
  <si>
    <t>Depreciación y Amortización</t>
  </si>
  <si>
    <t>Inventarios corrientes</t>
  </si>
  <si>
    <t>Activos corrientes totales</t>
  </si>
  <si>
    <t>Propiedad de inversión</t>
  </si>
  <si>
    <t>Inventarios no corrientes</t>
  </si>
  <si>
    <t>Activos por impuestos diferidos</t>
  </si>
  <si>
    <t>Total de activos no corrientes</t>
  </si>
  <si>
    <t>Total de activos</t>
  </si>
  <si>
    <t>Pasivos corrientes totales</t>
  </si>
  <si>
    <t>Pasivo por impuestos diferidos</t>
  </si>
  <si>
    <t>Total de pasivos no corrientes</t>
  </si>
  <si>
    <t>Total pasivos</t>
  </si>
  <si>
    <t>Capital emitido</t>
  </si>
  <si>
    <t>Prima de emisión</t>
  </si>
  <si>
    <t>Otras reservas</t>
  </si>
  <si>
    <t>Ganancias acumuladas</t>
  </si>
  <si>
    <t>Patrimonio total</t>
  </si>
  <si>
    <t>Total de patrimonio y pasivos</t>
  </si>
  <si>
    <t>Cifras en miles de pesos</t>
  </si>
  <si>
    <t>Análisis vertical</t>
  </si>
  <si>
    <t>Análisis horizontal [$]</t>
  </si>
  <si>
    <t>Análisis horizontal [%]</t>
  </si>
  <si>
    <t>EBITDA</t>
  </si>
  <si>
    <t>EBIT</t>
  </si>
  <si>
    <t>Prom. Activos</t>
  </si>
  <si>
    <t>Rotación Activos</t>
  </si>
  <si>
    <t>Prom. Rotación Activos</t>
  </si>
  <si>
    <t>Activos Fijos (AF)</t>
  </si>
  <si>
    <t>Prom. AF</t>
  </si>
  <si>
    <t>Rotación AF</t>
  </si>
  <si>
    <t>Prom. Rotación AF</t>
  </si>
  <si>
    <t>Prom. Inventarios</t>
  </si>
  <si>
    <t>Rotación Inventarios</t>
  </si>
  <si>
    <t>veces</t>
  </si>
  <si>
    <t>Días de Inventario</t>
  </si>
  <si>
    <t>días</t>
  </si>
  <si>
    <t>Promedio días Inventario</t>
  </si>
  <si>
    <t>Prom. CxC</t>
  </si>
  <si>
    <t>Rotación CxC</t>
  </si>
  <si>
    <t>Días de CxC</t>
  </si>
  <si>
    <t>Promedio días CxC</t>
  </si>
  <si>
    <t>Inventario</t>
  </si>
  <si>
    <t>Compras</t>
  </si>
  <si>
    <t>Prom. CxP</t>
  </si>
  <si>
    <t>Rotación CxP</t>
  </si>
  <si>
    <t>Días de CxP</t>
  </si>
  <si>
    <t>Promedio rotación CxP</t>
  </si>
  <si>
    <t>KTNO (AC – PC)</t>
  </si>
  <si>
    <t>Prom. KTNO</t>
  </si>
  <si>
    <t>Rotación KTNO</t>
  </si>
  <si>
    <t>KTNO</t>
  </si>
  <si>
    <t>Indicadores de Liquidez</t>
  </si>
  <si>
    <t>Razón corriente</t>
  </si>
  <si>
    <t>Prueba Ácida</t>
  </si>
  <si>
    <t>Capital de trabajo</t>
  </si>
  <si>
    <t>Liquidez (personalizado)</t>
  </si>
  <si>
    <t>Indicadores de Endeudamiento</t>
  </si>
  <si>
    <t>Nivel endeudamiento</t>
  </si>
  <si>
    <t>Total Deuda</t>
  </si>
  <si>
    <t>Nivel endeudamiento*</t>
  </si>
  <si>
    <t>Apalancamiento financiero</t>
  </si>
  <si>
    <t>Apalancamiento financiero*</t>
  </si>
  <si>
    <t>Cobertura de intereses</t>
  </si>
  <si>
    <t>Cobertura de intereses**</t>
  </si>
  <si>
    <t>Impacto carga financiera</t>
  </si>
  <si>
    <t>*con Total Deuda</t>
  </si>
  <si>
    <t>**con EBITDA</t>
  </si>
  <si>
    <t>Indicadores de Rentabilidad</t>
  </si>
  <si>
    <t>Margen Bruto</t>
  </si>
  <si>
    <t>Margen Operacional</t>
  </si>
  <si>
    <t>Margen EBITDA</t>
  </si>
  <si>
    <t>Margen Neto</t>
  </si>
  <si>
    <t>ROA Operacional</t>
  </si>
  <si>
    <t>ROA</t>
  </si>
  <si>
    <t>ROE</t>
  </si>
  <si>
    <t>DuPont</t>
  </si>
  <si>
    <t>Rotación de Activos</t>
  </si>
  <si>
    <t>Multiplicador de Capital</t>
  </si>
  <si>
    <t>Margen bruto</t>
  </si>
  <si>
    <t>Promedio margen bruto</t>
  </si>
  <si>
    <t>Promedio margen EBITDA</t>
  </si>
  <si>
    <t>Costos y gastos</t>
  </si>
  <si>
    <t>Cobertura intereses (EBITDA/Intereses)</t>
  </si>
  <si>
    <t>Crecimiento EBITDA</t>
  </si>
  <si>
    <t>Inventarios/Ventas</t>
  </si>
  <si>
    <t>CxC/Ventas</t>
  </si>
  <si>
    <t>CxP/Ventas</t>
  </si>
  <si>
    <t>KTNO/Ventas</t>
  </si>
  <si>
    <t>Activo Fijo</t>
  </si>
  <si>
    <t>Deudas corrientes</t>
  </si>
  <si>
    <t>Deudas no corrientes</t>
  </si>
  <si>
    <t>Total deuda</t>
  </si>
  <si>
    <t>Total deuda/EBITDA</t>
  </si>
  <si>
    <t>Efectivo</t>
  </si>
  <si>
    <t>CxC</t>
  </si>
  <si>
    <t>Activos por impuestos corrientes</t>
  </si>
  <si>
    <t>Otros activos financieros</t>
  </si>
  <si>
    <t>Otros activos no financieros</t>
  </si>
  <si>
    <t>Intangibles</t>
  </si>
  <si>
    <t>PPE</t>
  </si>
  <si>
    <t>Provisiones beneficios a los empleados</t>
  </si>
  <si>
    <t>Otras provisiones</t>
  </si>
  <si>
    <t>CxP</t>
  </si>
  <si>
    <t>Otros pasivos financieros</t>
  </si>
  <si>
    <t>Otros pasivos no financieros</t>
  </si>
  <si>
    <t>Pasivos por impuestos</t>
  </si>
  <si>
    <t>Activos por impuestos</t>
  </si>
  <si>
    <t>Cambio ventas</t>
  </si>
  <si>
    <t>Promedio cambio ventas</t>
  </si>
  <si>
    <t>Cambio Intereses</t>
  </si>
  <si>
    <t>Cambio Total deuda</t>
  </si>
  <si>
    <t>Ventas</t>
  </si>
  <si>
    <t>Margen neto</t>
  </si>
  <si>
    <t>Promedio margen neto</t>
  </si>
  <si>
    <t>Cambio costos y gastos</t>
  </si>
  <si>
    <t>Cambios KTNO</t>
  </si>
  <si>
    <t>Prom. KTNO/Ventas</t>
  </si>
  <si>
    <t>Días Inventario</t>
  </si>
  <si>
    <t>Días CxC</t>
  </si>
  <si>
    <t>Días CxP</t>
  </si>
  <si>
    <t>Ciclo de efectivo [días]</t>
  </si>
  <si>
    <t>Rotación de AF</t>
  </si>
  <si>
    <t>Promedio margen Operacional</t>
  </si>
  <si>
    <t>Total Deuda/Total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</si>
</sst>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8" formatCode="&quot;$&quot;\ #,##0.00;[Red]\-&quot;$&quot;\ #,##0.00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b/>
      <sz val="12"/>
      <color rgb="FF14085C"/>
      <name val="Franklin Gothic Book"/>
      <family val="2"/>
    </font>
    <font>
      <sz val="1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165" fontId="3" fillId="0" borderId="0" xfId="2" applyNumberFormat="1" applyFont="1" applyBorder="1" applyAlignment="1">
      <alignment vertical="center"/>
    </xf>
    <xf numFmtId="49" fontId="4" fillId="0" borderId="1" xfId="2" applyNumberFormat="1" applyFont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vertical="center"/>
    </xf>
    <xf numFmtId="6" fontId="0" fillId="0" borderId="0" xfId="0" applyNumberFormat="1"/>
    <xf numFmtId="9" fontId="5" fillId="2" borderId="1" xfId="1" applyFont="1" applyFill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165" fontId="3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0" fontId="7" fillId="0" borderId="0" xfId="0" applyFont="1"/>
    <xf numFmtId="6" fontId="5" fillId="2" borderId="0" xfId="0" applyNumberFormat="1" applyFont="1" applyFill="1" applyAlignment="1">
      <alignment horizontal="center" vertical="center"/>
    </xf>
    <xf numFmtId="165" fontId="8" fillId="0" borderId="0" xfId="2" applyNumberFormat="1" applyFont="1" applyBorder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8" fontId="0" fillId="0" borderId="0" xfId="0" applyNumberFormat="1"/>
    <xf numFmtId="167" fontId="6" fillId="0" borderId="2" xfId="1" applyNumberFormat="1" applyFont="1" applyBorder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9" fontId="6" fillId="0" borderId="4" xfId="1" applyFont="1" applyBorder="1" applyAlignment="1">
      <alignment horizontal="center" vertical="center"/>
    </xf>
    <xf numFmtId="9" fontId="5" fillId="2" borderId="4" xfId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0" fontId="5" fillId="2" borderId="1" xfId="1" applyNumberFormat="1" applyFont="1" applyFill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left" vertical="center"/>
    </xf>
    <xf numFmtId="165" fontId="3" fillId="0" borderId="3" xfId="2" applyNumberFormat="1" applyFont="1" applyFill="1" applyBorder="1" applyAlignment="1">
      <alignment horizontal="left" vertical="center"/>
    </xf>
    <xf numFmtId="165" fontId="8" fillId="0" borderId="0" xfId="2" applyNumberFormat="1" applyFont="1" applyBorder="1" applyAlignment="1">
      <alignment horizontal="center" vertical="center"/>
    </xf>
  </cellXfs>
  <cellStyles count="3">
    <cellStyle name="Comma 28" xfId="2" xr:uid="{691F9969-6295-4DA2-866A-83C454B5ADB4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Pasivos/Total Activos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A0-4CD4-A7A9-1A0992EE68FC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DA-4FAC-B26B-23DA4041BB18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8DA-4FAC-B26B-23DA4041BB1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8DA-4FAC-B26B-23DA4041B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KC!$A$22:$A$37</c:f>
              <c:strCache>
                <c:ptCount val="16"/>
                <c:pt idx="0">
                  <c:v> Total de activos </c:v>
                </c:pt>
                <c:pt idx="1">
                  <c:v> Provisiones beneficios a los empleados </c:v>
                </c:pt>
                <c:pt idx="2">
                  <c:v> Otras provisiones </c:v>
                </c:pt>
                <c:pt idx="3">
                  <c:v> CxP </c:v>
                </c:pt>
                <c:pt idx="4">
                  <c:v> Pasivos por impuestos </c:v>
                </c:pt>
                <c:pt idx="5">
                  <c:v> Otros pasivos financieros </c:v>
                </c:pt>
                <c:pt idx="6">
                  <c:v> Otros pasivos no financieros </c:v>
                </c:pt>
                <c:pt idx="7">
                  <c:v> Pasivos corrientes totales </c:v>
                </c:pt>
                <c:pt idx="8">
                  <c:v> Provisiones beneficios a los empleados </c:v>
                </c:pt>
                <c:pt idx="9">
                  <c:v> Otras provisiones </c:v>
                </c:pt>
                <c:pt idx="10">
                  <c:v> CxP </c:v>
                </c:pt>
                <c:pt idx="11">
                  <c:v> Pasivo por impuestos diferidos </c:v>
                </c:pt>
                <c:pt idx="12">
                  <c:v> Otros pasivos financieros </c:v>
                </c:pt>
                <c:pt idx="13">
                  <c:v> Otros pasivos no financieros </c:v>
                </c:pt>
                <c:pt idx="14">
                  <c:v> Total de pasivos no corrientes </c:v>
                </c:pt>
                <c:pt idx="15">
                  <c:v> Total pasivos </c:v>
                </c:pt>
              </c:strCache>
            </c:strRef>
          </c:cat>
          <c:val>
            <c:numRef>
              <c:f>KC!$I$22:$I$37</c:f>
              <c:numCache>
                <c:formatCode>0%</c:formatCode>
                <c:ptCount val="16"/>
                <c:pt idx="0">
                  <c:v>1</c:v>
                </c:pt>
                <c:pt idx="1">
                  <c:v>5.7578532009822294E-3</c:v>
                </c:pt>
                <c:pt idx="3">
                  <c:v>0.38860120026874778</c:v>
                </c:pt>
                <c:pt idx="4">
                  <c:v>2.8858281110373508E-3</c:v>
                </c:pt>
                <c:pt idx="5">
                  <c:v>4.476113186766364E-3</c:v>
                </c:pt>
                <c:pt idx="7">
                  <c:v>0.4017209947675337</c:v>
                </c:pt>
                <c:pt idx="11">
                  <c:v>7.3200358503473437E-2</c:v>
                </c:pt>
                <c:pt idx="12">
                  <c:v>1.6035438446833968E-3</c:v>
                </c:pt>
                <c:pt idx="14">
                  <c:v>7.4803902348156828E-2</c:v>
                </c:pt>
                <c:pt idx="15">
                  <c:v>0.47652489711569057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DA-4FAC-B26B-23DA4041B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1226560"/>
        <c:axId val="2001228640"/>
      </c:barChart>
      <c:catAx>
        <c:axId val="200122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01228640"/>
        <c:crosses val="autoZero"/>
        <c:auto val="1"/>
        <c:lblAlgn val="ctr"/>
        <c:lblOffset val="100"/>
        <c:noMultiLvlLbl val="0"/>
      </c:catAx>
      <c:valAx>
        <c:axId val="200122864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0122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KC!$Q$76</c:f>
              <c:strCache>
                <c:ptCount val="1"/>
                <c:pt idx="0">
                  <c:v> ROA Operacional 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KC!$S$69:$U$69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KC!$S$76:$U$76</c:f>
              <c:numCache>
                <c:formatCode>0.0%</c:formatCode>
                <c:ptCount val="3"/>
                <c:pt idx="0">
                  <c:v>3.0225094918804794E-2</c:v>
                </c:pt>
                <c:pt idx="1">
                  <c:v>1.9855822798937175E-2</c:v>
                </c:pt>
                <c:pt idx="2">
                  <c:v>-2.6715423302740716E-2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F9-488B-9FF2-04BB10161CE2}"/>
            </c:ext>
          </c:extLst>
        </c:ser>
        <c:ser>
          <c:idx val="1"/>
          <c:order val="1"/>
          <c:tx>
            <c:strRef>
              <c:f>KC!$Q$77</c:f>
              <c:strCache>
                <c:ptCount val="1"/>
                <c:pt idx="0">
                  <c:v> ROA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KC!$S$69:$U$69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KC!$S$77:$U$77</c:f>
              <c:numCache>
                <c:formatCode>0.0%</c:formatCode>
                <c:ptCount val="3"/>
                <c:pt idx="0">
                  <c:v>3.1281043384802046E-2</c:v>
                </c:pt>
                <c:pt idx="1">
                  <c:v>5.6011402243094817E-3</c:v>
                </c:pt>
                <c:pt idx="2">
                  <c:v>5.7813753663495428E-3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F9-488B-9FF2-04BB10161CE2}"/>
            </c:ext>
          </c:extLst>
        </c:ser>
        <c:ser>
          <c:idx val="2"/>
          <c:order val="2"/>
          <c:tx>
            <c:strRef>
              <c:f>KC!$Q$78</c:f>
              <c:strCache>
                <c:ptCount val="1"/>
                <c:pt idx="0">
                  <c:v> ROE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KC!$S$69:$U$69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KC!$S$78:$U$78</c:f>
              <c:numCache>
                <c:formatCode>0.0%</c:formatCode>
                <c:ptCount val="3"/>
                <c:pt idx="0">
                  <c:v>5.0927866378408959E-2</c:v>
                </c:pt>
                <c:pt idx="1">
                  <c:v>8.3330896140759985E-3</c:v>
                </c:pt>
                <c:pt idx="2">
                  <c:v>9.973004647043834E-3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F9-488B-9FF2-04BB1016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7690287"/>
        <c:axId val="1847682799"/>
      </c:barChart>
      <c:catAx>
        <c:axId val="1847690287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47682799"/>
        <c:crosses val="autoZero"/>
        <c:auto val="1"/>
        <c:lblAlgn val="ctr"/>
        <c:lblOffset val="100"/>
        <c:noMultiLvlLbl val="0"/>
      </c:catAx>
      <c:valAx>
        <c:axId val="1847682799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47690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KC!$A$22</c:f>
              <c:strCache>
                <c:ptCount val="1"/>
                <c:pt idx="0">
                  <c:v> Total de activos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KC!$B$4:$E$4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KC!$B$22:$E$22</c:f>
              <c:numCache>
                <c:formatCode>"$"#,##0_);[Red]\("$"#,##0\)</c:formatCode>
                <c:ptCount val="4"/>
                <c:pt idx="0">
                  <c:v>162364276</c:v>
                </c:pt>
                <c:pt idx="1">
                  <c:v>112651039</c:v>
                </c:pt>
                <c:pt idx="2">
                  <c:v>121552703</c:v>
                </c:pt>
                <c:pt idx="3">
                  <c:v>152502846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F-4C1C-B4C7-EDE817A9D4BF}"/>
            </c:ext>
          </c:extLst>
        </c:ser>
        <c:ser>
          <c:idx val="1"/>
          <c:order val="1"/>
          <c:tx>
            <c:strRef>
              <c:f>KC!$A$37</c:f>
              <c:strCache>
                <c:ptCount val="1"/>
                <c:pt idx="0">
                  <c:v> Total pasivos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KC!$B$4:$E$4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KC!$B$37:$E$37</c:f>
              <c:numCache>
                <c:formatCode>"$"#,##0_);[Red]\("$"#,##0\)</c:formatCode>
                <c:ptCount val="4"/>
                <c:pt idx="0">
                  <c:v>71826001</c:v>
                </c:pt>
                <c:pt idx="1">
                  <c:v>34268709</c:v>
                </c:pt>
                <c:pt idx="2">
                  <c:v>42513469</c:v>
                </c:pt>
                <c:pt idx="3">
                  <c:v>72671403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F-4C1C-B4C7-EDE817A9D4BF}"/>
            </c:ext>
          </c:extLst>
        </c:ser>
        <c:ser>
          <c:idx val="2"/>
          <c:order val="2"/>
          <c:tx>
            <c:strRef>
              <c:f>KC!$A$42</c:f>
              <c:strCache>
                <c:ptCount val="1"/>
                <c:pt idx="0">
                  <c:v> Patrimonio total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KC!$B$4:$E$4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KC!$B$42:$E$42</c:f>
              <c:numCache>
                <c:formatCode>"$"#,##0_);[Red]\("$"#,##0\)</c:formatCode>
                <c:ptCount val="4"/>
                <c:pt idx="0">
                  <c:v>90538275</c:v>
                </c:pt>
                <c:pt idx="1">
                  <c:v>78382330</c:v>
                </c:pt>
                <c:pt idx="2">
                  <c:v>79039234</c:v>
                </c:pt>
                <c:pt idx="3">
                  <c:v>79831443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F-4C1C-B4C7-EDE817A9D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7635375"/>
        <c:axId val="1847647439"/>
      </c:barChart>
      <c:catAx>
        <c:axId val="184763537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47647439"/>
        <c:crosses val="autoZero"/>
        <c:auto val="1"/>
        <c:lblAlgn val="ctr"/>
        <c:lblOffset val="100"/>
        <c:noMultiLvlLbl val="0"/>
      </c:catAx>
      <c:valAx>
        <c:axId val="1847647439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4763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DuPont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KC!$Q$83</c:f>
              <c:strCache>
                <c:ptCount val="1"/>
                <c:pt idx="0">
                  <c:v> Rotación de Activos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KC!$S$81:$U$81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KC!$S$83:$U$83</c:f>
              <c:numCache>
                <c:formatCode>0.0</c:formatCode>
                <c:ptCount val="3"/>
                <c:pt idx="0">
                  <c:v>0.86892471424727746</c:v>
                </c:pt>
                <c:pt idx="1">
                  <c:v>1.1290591249391737</c:v>
                </c:pt>
                <c:pt idx="2">
                  <c:v>0.67391115660278056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5-44FD-900E-AD6DF8A2A2C8}"/>
            </c:ext>
          </c:extLst>
        </c:ser>
        <c:ser>
          <c:idx val="2"/>
          <c:order val="2"/>
          <c:tx>
            <c:strRef>
              <c:f>KC!$Q$84</c:f>
              <c:strCache>
                <c:ptCount val="1"/>
                <c:pt idx="0">
                  <c:v> Multiplicador de Capital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KC!$S$81:$U$81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KC!$S$84:$U$84</c:f>
              <c:numCache>
                <c:formatCode>0.0</c:formatCode>
                <c:ptCount val="3"/>
                <c:pt idx="0">
                  <c:v>1.628074414012429</c:v>
                </c:pt>
                <c:pt idx="1">
                  <c:v>1.4877487940597516</c:v>
                </c:pt>
                <c:pt idx="2">
                  <c:v>1.7250228561687315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A5-44FD-900E-AD6DF8A2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55919231"/>
        <c:axId val="1755929215"/>
      </c:barChart>
      <c:lineChart>
        <c:grouping val="standard"/>
        <c:varyColors val="0"/>
        <c:ser>
          <c:idx val="0"/>
          <c:order val="0"/>
          <c:tx>
            <c:strRef>
              <c:f>KC!$Q$82</c:f>
              <c:strCache>
                <c:ptCount val="1"/>
                <c:pt idx="0">
                  <c:v> Margen Neto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KC!$S$81:$U$81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KC!$S$82:$U$82</c:f>
              <c:numCache>
                <c:formatCode>0.0%</c:formatCode>
                <c:ptCount val="3"/>
                <c:pt idx="0">
                  <c:v>3.5999716513875242E-2</c:v>
                </c:pt>
                <c:pt idx="1">
                  <c:v>4.9608918617182552E-3</c:v>
                </c:pt>
                <c:pt idx="2">
                  <c:v>8.5788390794622558E-3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5-44FD-900E-AD6DF8A2A2C8}"/>
            </c:ext>
          </c:extLst>
        </c:ser>
        <c:ser>
          <c:idx val="3"/>
          <c:order val="3"/>
          <c:tx>
            <c:strRef>
              <c:f>KC!$Q$85</c:f>
              <c:strCache>
                <c:ptCount val="1"/>
                <c:pt idx="0">
                  <c:v> ROE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4098940583718757E-2"/>
                  <c:y val="-3.986789263052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A5-44FD-900E-AD6DF8A2A2C8}"/>
                </c:ext>
              </c:extLst>
            </c:dLbl>
            <c:dLbl>
              <c:idx val="1"/>
              <c:layout>
                <c:manualLayout>
                  <c:x val="-3.6749117153099031E-2"/>
                  <c:y val="-3.68011316589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A5-44FD-900E-AD6DF8A2A2C8}"/>
                </c:ext>
              </c:extLst>
            </c:dLbl>
            <c:dLbl>
              <c:idx val="2"/>
              <c:layout>
                <c:manualLayout>
                  <c:x val="-5.1448764014338615E-2"/>
                  <c:y val="-3.373437068736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A5-44FD-900E-AD6DF8A2A2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KC!$S$81:$U$81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KC!$S$85:$U$85</c:f>
              <c:numCache>
                <c:formatCode>0.0%</c:formatCode>
                <c:ptCount val="3"/>
                <c:pt idx="0">
                  <c:v>5.0927866378408952E-2</c:v>
                </c:pt>
                <c:pt idx="1">
                  <c:v>8.3330896140759985E-3</c:v>
                </c:pt>
                <c:pt idx="2">
                  <c:v>9.973004647043834E-3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A5-44FD-900E-AD6DF8A2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224143"/>
        <c:axId val="1791217903"/>
      </c:lineChart>
      <c:catAx>
        <c:axId val="1755919231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755929215"/>
        <c:crosses val="autoZero"/>
        <c:auto val="1"/>
        <c:lblAlgn val="ctr"/>
        <c:lblOffset val="100"/>
        <c:noMultiLvlLbl val="0"/>
      </c:catAx>
      <c:valAx>
        <c:axId val="1755929215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755919231"/>
        <c:crosses val="autoZero"/>
        <c:crossBetween val="between"/>
      </c:valAx>
      <c:valAx>
        <c:axId val="1791217903"/>
        <c:scaling>
          <c:orientation val="minMax"/>
          <c:max val="5.5000000000000007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791224143"/>
        <c:crosses val="max"/>
        <c:crossBetween val="between"/>
      </c:valAx>
      <c:catAx>
        <c:axId val="1791224143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791217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Activos/Total Activos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CE-4A1B-9919-5AF8F2AC7645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CE-4A1B-9919-5AF8F2AC764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CE-4A1B-9919-5AF8F2AC76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KC!$A$5:$A$22</c:f>
              <c:strCache>
                <c:ptCount val="18"/>
                <c:pt idx="0">
                  <c:v> Efectivo </c:v>
                </c:pt>
                <c:pt idx="1">
                  <c:v> CxC </c:v>
                </c:pt>
                <c:pt idx="2">
                  <c:v> Inventarios corrientes </c:v>
                </c:pt>
                <c:pt idx="3">
                  <c:v> Activos por impuestos </c:v>
                </c:pt>
                <c:pt idx="4">
                  <c:v> Otros activos financieros </c:v>
                </c:pt>
                <c:pt idx="5">
                  <c:v> Otros activos no financieros </c:v>
                </c:pt>
                <c:pt idx="6">
                  <c:v> Activos corrientes totales </c:v>
                </c:pt>
                <c:pt idx="7">
                  <c:v> Propiedad de inversión </c:v>
                </c:pt>
                <c:pt idx="8">
                  <c:v> PPE </c:v>
                </c:pt>
                <c:pt idx="9">
                  <c:v> Intangibles </c:v>
                </c:pt>
                <c:pt idx="10">
                  <c:v> CxC </c:v>
                </c:pt>
                <c:pt idx="11">
                  <c:v> Inventarios no corrientes </c:v>
                </c:pt>
                <c:pt idx="12">
                  <c:v> Activos por impuestos diferidos </c:v>
                </c:pt>
                <c:pt idx="13">
                  <c:v> Activos por impuestos corrientes </c:v>
                </c:pt>
                <c:pt idx="14">
                  <c:v> Otros activos financieros </c:v>
                </c:pt>
                <c:pt idx="15">
                  <c:v> Otros activos no financieros </c:v>
                </c:pt>
                <c:pt idx="16">
                  <c:v> Total de activos no corrientes </c:v>
                </c:pt>
                <c:pt idx="17">
                  <c:v> Total de activos </c:v>
                </c:pt>
              </c:strCache>
            </c:strRef>
          </c:cat>
          <c:val>
            <c:numRef>
              <c:f>KC!$I$5:$I$22</c:f>
              <c:numCache>
                <c:formatCode>0%</c:formatCode>
                <c:ptCount val="18"/>
                <c:pt idx="0">
                  <c:v>3.4281786452693482E-2</c:v>
                </c:pt>
                <c:pt idx="1">
                  <c:v>8.581943447796378E-2</c:v>
                </c:pt>
                <c:pt idx="2">
                  <c:v>0.10059906685282451</c:v>
                </c:pt>
                <c:pt idx="3">
                  <c:v>4.6247156594048086E-2</c:v>
                </c:pt>
                <c:pt idx="6">
                  <c:v>0.26694744437752982</c:v>
                </c:pt>
                <c:pt idx="8">
                  <c:v>0.72985639231939314</c:v>
                </c:pt>
                <c:pt idx="10">
                  <c:v>3.1961633030769799E-3</c:v>
                </c:pt>
                <c:pt idx="16">
                  <c:v>0.73305255562247018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CE-4A1B-9919-5AF8F2AC7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1226560"/>
        <c:axId val="2001228640"/>
      </c:barChart>
      <c:catAx>
        <c:axId val="200122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01228640"/>
        <c:crosses val="autoZero"/>
        <c:auto val="1"/>
        <c:lblAlgn val="ctr"/>
        <c:lblOffset val="100"/>
        <c:noMultiLvlLbl val="0"/>
      </c:catAx>
      <c:valAx>
        <c:axId val="200122864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0122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Patrimonio/Total Activos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7C-40DE-8137-92BE119C6A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KC!$A$38:$A$42</c:f>
              <c:strCache>
                <c:ptCount val="5"/>
                <c:pt idx="0">
                  <c:v> Capital emitido </c:v>
                </c:pt>
                <c:pt idx="1">
                  <c:v> Prima de emisión </c:v>
                </c:pt>
                <c:pt idx="2">
                  <c:v> Otras reservas </c:v>
                </c:pt>
                <c:pt idx="3">
                  <c:v> Ganancias acumuladas </c:v>
                </c:pt>
                <c:pt idx="4">
                  <c:v> Patrimonio total </c:v>
                </c:pt>
              </c:strCache>
            </c:strRef>
          </c:cat>
          <c:val>
            <c:numRef>
              <c:f>KC!$I$38:$I$42</c:f>
              <c:numCache>
                <c:formatCode>0%</c:formatCode>
                <c:ptCount val="5"/>
                <c:pt idx="0">
                  <c:v>9.850307973924631E-3</c:v>
                </c:pt>
                <c:pt idx="1">
                  <c:v>9.8358820136379616E-2</c:v>
                </c:pt>
                <c:pt idx="2">
                  <c:v>0.13743388106999654</c:v>
                </c:pt>
                <c:pt idx="3">
                  <c:v>0.27783209370400863</c:v>
                </c:pt>
                <c:pt idx="4">
                  <c:v>0.52347510288430943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C-40DE-8137-92BE119C6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1226560"/>
        <c:axId val="2001228640"/>
      </c:barChart>
      <c:catAx>
        <c:axId val="200122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01228640"/>
        <c:crosses val="autoZero"/>
        <c:auto val="1"/>
        <c:lblAlgn val="ctr"/>
        <c:lblOffset val="100"/>
        <c:noMultiLvlLbl val="0"/>
      </c:catAx>
      <c:valAx>
        <c:axId val="200122864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0122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Ventas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KC!$A$47</c:f>
              <c:strCache>
                <c:ptCount val="1"/>
                <c:pt idx="0">
                  <c:v> Ventas 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KC!$B$46:$F$46</c:f>
              <c:numCache>
                <c:formatCode>@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2017</c:v>
                </c:pt>
              </c:numCache>
            </c:numRef>
          </c:cat>
          <c:val>
            <c:numRef>
              <c:f>KC!$B$47:$E$47</c:f>
              <c:numCache>
                <c:formatCode>"$"#,##0_);[Red]\("$"#,##0\)</c:formatCode>
                <c:ptCount val="4"/>
                <c:pt idx="0">
                  <c:v>113909601</c:v>
                </c:pt>
                <c:pt idx="1">
                  <c:v>119483802</c:v>
                </c:pt>
                <c:pt idx="2">
                  <c:v>132214936</c:v>
                </c:pt>
                <c:pt idx="3">
                  <c:v>92344546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3-4272-B567-DF808017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655168"/>
        <c:axId val="560649344"/>
      </c:barChart>
      <c:lineChart>
        <c:grouping val="standard"/>
        <c:varyColors val="0"/>
        <c:ser>
          <c:idx val="1"/>
          <c:order val="1"/>
          <c:tx>
            <c:strRef>
              <c:f>KC!$A$66</c:f>
              <c:strCache>
                <c:ptCount val="1"/>
                <c:pt idx="0">
                  <c:v> Cambio ventas 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888888888888934E-2"/>
                  <c:y val="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C3-4272-B567-DF80801718EA}"/>
                </c:ext>
              </c:extLst>
            </c:dLbl>
            <c:dLbl>
              <c:idx val="2"/>
              <c:layout>
                <c:manualLayout>
                  <c:x val="8.3333333333332309E-3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C3-4272-B567-DF80801718EA}"/>
                </c:ext>
              </c:extLst>
            </c:dLbl>
            <c:dLbl>
              <c:idx val="3"/>
              <c:layout>
                <c:manualLayout>
                  <c:x val="-0.125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C3-4272-B567-DF8080171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KC!$B$66:$E$66</c:f>
              <c:numCache>
                <c:formatCode>0%</c:formatCode>
                <c:ptCount val="4"/>
                <c:pt idx="1">
                  <c:v>4.8935304408624924E-2</c:v>
                </c:pt>
                <c:pt idx="2">
                  <c:v>0.10655112899738484</c:v>
                </c:pt>
                <c:pt idx="3">
                  <c:v>-0.30155738229151352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3-4272-B567-DF808017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34656"/>
        <c:axId val="606545472"/>
      </c:lineChart>
      <c:catAx>
        <c:axId val="56065516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60649344"/>
        <c:crosses val="autoZero"/>
        <c:auto val="1"/>
        <c:lblAlgn val="ctr"/>
        <c:lblOffset val="100"/>
        <c:noMultiLvlLbl val="0"/>
      </c:catAx>
      <c:valAx>
        <c:axId val="560649344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60655168"/>
        <c:crosses val="autoZero"/>
        <c:crossBetween val="between"/>
      </c:valAx>
      <c:valAx>
        <c:axId val="6065454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6534656"/>
        <c:crosses val="max"/>
        <c:crossBetween val="between"/>
      </c:valAx>
      <c:catAx>
        <c:axId val="60653465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606545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KC!$A$68</c:f>
              <c:strCache>
                <c:ptCount val="1"/>
                <c:pt idx="0">
                  <c:v> Margen bruto 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KC!$B$68:$E$68</c:f>
              <c:numCache>
                <c:formatCode>0%</c:formatCode>
                <c:ptCount val="4"/>
                <c:pt idx="0">
                  <c:v>0.15983975749331261</c:v>
                </c:pt>
                <c:pt idx="1">
                  <c:v>0.11218586767100029</c:v>
                </c:pt>
                <c:pt idx="2">
                  <c:v>0.10155265665295182</c:v>
                </c:pt>
                <c:pt idx="3">
                  <c:v>5.6620301105817339E-2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5-451F-966A-3FAD064ED27F}"/>
            </c:ext>
          </c:extLst>
        </c:ser>
        <c:ser>
          <c:idx val="3"/>
          <c:order val="1"/>
          <c:tx>
            <c:strRef>
              <c:f>KC!$A$70</c:f>
              <c:strCache>
                <c:ptCount val="1"/>
                <c:pt idx="0">
                  <c:v> Margen Operacional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KC!$B$70:$E$70</c:f>
              <c:numCache>
                <c:formatCode>0%</c:formatCode>
                <c:ptCount val="4"/>
                <c:pt idx="0">
                  <c:v>7.7451320367630819E-2</c:v>
                </c:pt>
                <c:pt idx="1">
                  <c:v>3.4784480661236405E-2</c:v>
                </c:pt>
                <c:pt idx="2">
                  <c:v>1.7586167420600651E-2</c:v>
                </c:pt>
                <c:pt idx="3">
                  <c:v>-3.9642352023691797E-2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9-4B87-B0BE-CEF607DF4103}"/>
            </c:ext>
          </c:extLst>
        </c:ser>
        <c:ser>
          <c:idx val="1"/>
          <c:order val="2"/>
          <c:tx>
            <c:strRef>
              <c:f>KC!$A$72</c:f>
              <c:strCache>
                <c:ptCount val="1"/>
                <c:pt idx="0">
                  <c:v> Margen EBITDA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KC!$B$72:$E$72</c:f>
              <c:numCache>
                <c:formatCode>0%</c:formatCode>
                <c:ptCount val="4"/>
                <c:pt idx="0">
                  <c:v>0.11505232118230314</c:v>
                </c:pt>
                <c:pt idx="1">
                  <c:v>7.4260300153488584E-2</c:v>
                </c:pt>
                <c:pt idx="2">
                  <c:v>5.9393584700596913E-2</c:v>
                </c:pt>
                <c:pt idx="3">
                  <c:v>3.0513085201588408E-2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5-451F-966A-3FAD064ED27F}"/>
            </c:ext>
          </c:extLst>
        </c:ser>
        <c:ser>
          <c:idx val="2"/>
          <c:order val="3"/>
          <c:tx>
            <c:strRef>
              <c:f>KC!$A$74</c:f>
              <c:strCache>
                <c:ptCount val="1"/>
                <c:pt idx="0">
                  <c:v> Margen neto 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KC!$B$74:$E$74</c:f>
              <c:numCache>
                <c:formatCode>0%</c:formatCode>
                <c:ptCount val="4"/>
                <c:pt idx="0">
                  <c:v>6.6349481814092212E-2</c:v>
                </c:pt>
                <c:pt idx="1">
                  <c:v>3.5999716513875242E-2</c:v>
                </c:pt>
                <c:pt idx="2">
                  <c:v>4.9608918617182552E-3</c:v>
                </c:pt>
                <c:pt idx="3">
                  <c:v>8.5788390794622558E-3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5-451F-966A-3FAD064ED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50064"/>
        <c:axId val="601152560"/>
      </c:barChart>
      <c:catAx>
        <c:axId val="601150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1152560"/>
        <c:crosses val="autoZero"/>
        <c:auto val="1"/>
        <c:lblAlgn val="ctr"/>
        <c:lblOffset val="100"/>
        <c:noMultiLvlLbl val="0"/>
      </c:catAx>
      <c:valAx>
        <c:axId val="601152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115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1"/>
          <c:tx>
            <c:strRef>
              <c:f>KC!$A$48</c:f>
              <c:strCache>
                <c:ptCount val="1"/>
                <c:pt idx="0">
                  <c:v> Costo de ventas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KC!$B$46:$E$46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KC!$B$48:$E$48</c:f>
              <c:numCache>
                <c:formatCode>"$"#,##0_);[Red]\("$"#,##0\)</c:formatCode>
                <c:ptCount val="4"/>
                <c:pt idx="0">
                  <c:v>95702318</c:v>
                </c:pt>
                <c:pt idx="1">
                  <c:v>106079408</c:v>
                </c:pt>
                <c:pt idx="2">
                  <c:v>118788158</c:v>
                </c:pt>
                <c:pt idx="3">
                  <c:v>87115970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7-4FB8-AECF-A726AEF94042}"/>
            </c:ext>
          </c:extLst>
        </c:ser>
        <c:ser>
          <c:idx val="2"/>
          <c:order val="2"/>
          <c:tx>
            <c:strRef>
              <c:f>KC!$A$51</c:f>
              <c:strCache>
                <c:ptCount val="1"/>
                <c:pt idx="0">
                  <c:v> Gastos de ventas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KC!$B$46:$E$46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KC!$B$51:$E$51</c:f>
              <c:numCache>
                <c:formatCode>"$"#,##0_);[Red]\("$"#,##0\)</c:formatCode>
                <c:ptCount val="4"/>
                <c:pt idx="0">
                  <c:v>5095627</c:v>
                </c:pt>
                <c:pt idx="1">
                  <c:v>5866648</c:v>
                </c:pt>
                <c:pt idx="2">
                  <c:v>8207839</c:v>
                </c:pt>
                <c:pt idx="3">
                  <c:v>6848012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7-4FB8-AECF-A726AEF94042}"/>
            </c:ext>
          </c:extLst>
        </c:ser>
        <c:ser>
          <c:idx val="3"/>
          <c:order val="3"/>
          <c:tx>
            <c:strRef>
              <c:f>KC!$A$52</c:f>
              <c:strCache>
                <c:ptCount val="1"/>
                <c:pt idx="0">
                  <c:v> Gastos de administración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KC!$B$46:$E$46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KC!$B$52:$E$52</c:f>
              <c:numCache>
                <c:formatCode>"$"#,##0_);[Red]\("$"#,##0\)</c:formatCode>
                <c:ptCount val="4"/>
                <c:pt idx="0">
                  <c:v>3833875</c:v>
                </c:pt>
                <c:pt idx="1">
                  <c:v>3807832</c:v>
                </c:pt>
                <c:pt idx="2">
                  <c:v>2893785</c:v>
                </c:pt>
                <c:pt idx="3">
                  <c:v>2041319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7-4FB8-AECF-A726AEF94042}"/>
            </c:ext>
          </c:extLst>
        </c:ser>
        <c:ser>
          <c:idx val="4"/>
          <c:order val="4"/>
          <c:tx>
            <c:strRef>
              <c:f>KC!$A$53</c:f>
              <c:strCache>
                <c:ptCount val="1"/>
                <c:pt idx="0">
                  <c:v> Otros gastos 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numRef>
              <c:f>KC!$B$46:$E$46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KC!$B$53:$E$53</c:f>
              <c:numCache>
                <c:formatCode>"$"#,##0_);[Red]\("$"#,##0\)</c:formatCode>
                <c:ptCount val="4"/>
                <c:pt idx="0">
                  <c:v>455332</c:v>
                </c:pt>
                <c:pt idx="1">
                  <c:v>76620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C7-4FB8-AECF-A726AEF94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2121392"/>
        <c:axId val="622103088"/>
      </c:barChart>
      <c:lineChart>
        <c:grouping val="standard"/>
        <c:varyColors val="0"/>
        <c:ser>
          <c:idx val="1"/>
          <c:order val="0"/>
          <c:tx>
            <c:strRef>
              <c:f>KC!$A$78</c:f>
              <c:strCache>
                <c:ptCount val="1"/>
                <c:pt idx="0">
                  <c:v> Cambio costos y gastos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6666666666666666E-2"/>
                  <c:y val="-4.166666666666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9-423C-896E-2F3F2D9243DA}"/>
                </c:ext>
              </c:extLst>
            </c:dLbl>
            <c:dLbl>
              <c:idx val="2"/>
              <c:layout>
                <c:manualLayout>
                  <c:x val="-3.4765564553566823E-2"/>
                  <c:y val="-4.16665047756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49-423C-896E-2F3F2D9243DA}"/>
                </c:ext>
              </c:extLst>
            </c:dLbl>
            <c:dLbl>
              <c:idx val="3"/>
              <c:layout>
                <c:manualLayout>
                  <c:x val="-3.6937029515370832E-3"/>
                  <c:y val="1.43759207918553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9-423C-896E-2F3F2D9243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KC!$B$46:$E$46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KC!$B$78:$E$78</c:f>
              <c:numCache>
                <c:formatCode>0%</c:formatCode>
                <c:ptCount val="4"/>
                <c:pt idx="1">
                  <c:v>0.1022328210017529</c:v>
                </c:pt>
                <c:pt idx="2">
                  <c:v>0.12137798791316712</c:v>
                </c:pt>
                <c:pt idx="3">
                  <c:v>-0.26087102833077358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49-423C-896E-2F3F2D924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348879"/>
        <c:axId val="2057367599"/>
      </c:lineChart>
      <c:catAx>
        <c:axId val="62212139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22103088"/>
        <c:crosses val="autoZero"/>
        <c:auto val="1"/>
        <c:lblAlgn val="ctr"/>
        <c:lblOffset val="100"/>
        <c:noMultiLvlLbl val="0"/>
      </c:catAx>
      <c:valAx>
        <c:axId val="622103088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22121392"/>
        <c:crosses val="autoZero"/>
        <c:crossBetween val="between"/>
      </c:valAx>
      <c:valAx>
        <c:axId val="2057367599"/>
        <c:scaling>
          <c:orientation val="minMax"/>
          <c:max val="0.45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57348879"/>
        <c:crosses val="max"/>
        <c:crossBetween val="between"/>
      </c:valAx>
      <c:catAx>
        <c:axId val="2057348879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20573675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KC!$A$87</c:f>
              <c:strCache>
                <c:ptCount val="1"/>
                <c:pt idx="0">
                  <c:v> KTNO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KC!$B$87:$E$87</c:f>
              <c:numCache>
                <c:formatCode>"$"#,##0_);[Red]\("$"#,##0\)</c:formatCode>
                <c:ptCount val="4"/>
                <c:pt idx="0">
                  <c:v>24488550</c:v>
                </c:pt>
                <c:pt idx="1">
                  <c:v>9823815</c:v>
                </c:pt>
                <c:pt idx="2">
                  <c:v>-2150322</c:v>
                </c:pt>
                <c:pt idx="3">
                  <c:v>-19870730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2-4ED0-AA88-252AA81BC50D}"/>
            </c:ext>
          </c:extLst>
        </c:ser>
        <c:ser>
          <c:idx val="1"/>
          <c:order val="1"/>
          <c:tx>
            <c:strRef>
              <c:f>KC!$A$47</c:f>
              <c:strCache>
                <c:ptCount val="1"/>
                <c:pt idx="0">
                  <c:v> Ventas 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KC!$B$47:$E$47</c:f>
              <c:numCache>
                <c:formatCode>"$"#,##0_);[Red]\("$"#,##0\)</c:formatCode>
                <c:ptCount val="4"/>
                <c:pt idx="0">
                  <c:v>113909601</c:v>
                </c:pt>
                <c:pt idx="1">
                  <c:v>119483802</c:v>
                </c:pt>
                <c:pt idx="2">
                  <c:v>132214936</c:v>
                </c:pt>
                <c:pt idx="3">
                  <c:v>92344546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2-4ED0-AA88-252AA81BC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38445327"/>
        <c:axId val="1238447823"/>
      </c:barChart>
      <c:lineChart>
        <c:grouping val="standard"/>
        <c:varyColors val="0"/>
        <c:ser>
          <c:idx val="2"/>
          <c:order val="2"/>
          <c:tx>
            <c:strRef>
              <c:f>KC!$A$76</c:f>
              <c:strCache>
                <c:ptCount val="1"/>
                <c:pt idx="0">
                  <c:v> Prom. KTNO/Ventas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0.10560938192389405"/>
                  <c:y val="3.082755841356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32-4ED0-AA88-252AA81BC50D}"/>
                </c:ext>
              </c:extLst>
            </c:dLbl>
            <c:dLbl>
              <c:idx val="2"/>
              <c:layout>
                <c:manualLayout>
                  <c:x val="-5.197137468897957E-3"/>
                  <c:y val="-3.5687064221446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32-4ED0-AA88-252AA81BC50D}"/>
                </c:ext>
              </c:extLst>
            </c:dLbl>
            <c:dLbl>
              <c:idx val="3"/>
              <c:layout>
                <c:manualLayout>
                  <c:x val="-6.6881693303949885E-2"/>
                  <c:y val="4.0578797773719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32-4ED0-AA88-252AA81BC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KC!$B$65:$E$65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KC!$B$76:$E$76</c:f>
              <c:numCache>
                <c:formatCode>0%</c:formatCode>
                <c:ptCount val="4"/>
                <c:pt idx="1">
                  <c:v>0.14358584354388054</c:v>
                </c:pt>
                <c:pt idx="2">
                  <c:v>2.9019009622331927E-2</c:v>
                </c:pt>
                <c:pt idx="3">
                  <c:v>-0.1192330947189886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32-4ED0-AA88-252AA81BC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62367"/>
        <c:axId val="1221067775"/>
      </c:lineChart>
      <c:catAx>
        <c:axId val="1238445327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238447823"/>
        <c:crosses val="autoZero"/>
        <c:auto val="1"/>
        <c:lblAlgn val="ctr"/>
        <c:lblOffset val="100"/>
        <c:noMultiLvlLbl val="0"/>
      </c:catAx>
      <c:valAx>
        <c:axId val="1238447823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238445327"/>
        <c:crosses val="autoZero"/>
        <c:crossBetween val="between"/>
      </c:valAx>
      <c:valAx>
        <c:axId val="1221067775"/>
        <c:scaling>
          <c:orientation val="minMax"/>
          <c:max val="0.15000000000000002"/>
          <c:min val="-0.1400000000000000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221062367"/>
        <c:crosses val="max"/>
        <c:crossBetween val="between"/>
      </c:valAx>
      <c:catAx>
        <c:axId val="1221062367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2210677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Liquidez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KC!$Q$50</c:f>
              <c:strCache>
                <c:ptCount val="1"/>
                <c:pt idx="0">
                  <c:v> Razón corriente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KC!$R$56:$U$56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KC!$R$50:$U$50</c:f>
              <c:numCache>
                <c:formatCode>0.00</c:formatCode>
                <c:ptCount val="4"/>
                <c:pt idx="0">
                  <c:v>1.3852290749653258</c:v>
                </c:pt>
                <c:pt idx="1">
                  <c:v>1.3730325995014088</c:v>
                </c:pt>
                <c:pt idx="2">
                  <c:v>0.9261346064974405</c:v>
                </c:pt>
                <c:pt idx="3">
                  <c:v>0.66450956722340571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A-4409-96A2-89A1F9018197}"/>
            </c:ext>
          </c:extLst>
        </c:ser>
        <c:ser>
          <c:idx val="1"/>
          <c:order val="1"/>
          <c:tx>
            <c:strRef>
              <c:f>KC!$Q$51</c:f>
              <c:strCache>
                <c:ptCount val="1"/>
                <c:pt idx="0">
                  <c:v> Prueba Ácida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KC!$R$56:$U$56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KC!$R$51:$U$51</c:f>
              <c:numCache>
                <c:formatCode>0.00</c:formatCode>
                <c:ptCount val="4"/>
                <c:pt idx="0">
                  <c:v>1.1838586541542642</c:v>
                </c:pt>
                <c:pt idx="1">
                  <c:v>0.90315714400499048</c:v>
                </c:pt>
                <c:pt idx="2">
                  <c:v>0.46209875837590592</c:v>
                </c:pt>
                <c:pt idx="3">
                  <c:v>0.29896675178790927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A-4409-96A2-89A1F9018197}"/>
            </c:ext>
          </c:extLst>
        </c:ser>
        <c:ser>
          <c:idx val="3"/>
          <c:order val="2"/>
          <c:tx>
            <c:strRef>
              <c:f>KC!$Q$53</c:f>
              <c:strCache>
                <c:ptCount val="1"/>
                <c:pt idx="0">
                  <c:v> Liquidez (personalizado)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KC!$R$56:$U$56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KC!$R$53:$U$53</c:f>
              <c:numCache>
                <c:formatCode>0.00</c:formatCode>
                <c:ptCount val="4"/>
                <c:pt idx="0">
                  <c:v>6.7141766211797113E-2</c:v>
                </c:pt>
                <c:pt idx="1">
                  <c:v>0.40551032446818186</c:v>
                </c:pt>
                <c:pt idx="2">
                  <c:v>6.3363373979265183E-2</c:v>
                </c:pt>
                <c:pt idx="3">
                  <c:v>8.595477359753298E-2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2A-4409-96A2-89A1F901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03862655"/>
        <c:axId val="1803866399"/>
      </c:barChart>
      <c:lineChart>
        <c:grouping val="standard"/>
        <c:varyColors val="0"/>
        <c:ser>
          <c:idx val="2"/>
          <c:order val="3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KC!$R$56:$U$56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7D2A-4409-96A2-89A1F901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862655"/>
        <c:axId val="1803866399"/>
      </c:lineChart>
      <c:lineChart>
        <c:grouping val="standard"/>
        <c:varyColors val="0"/>
        <c:ser>
          <c:idx val="4"/>
          <c:order val="4"/>
          <c:tx>
            <c:strRef>
              <c:f>KC!$Q$35</c:f>
              <c:strCache>
                <c:ptCount val="1"/>
                <c:pt idx="0">
                  <c:v> Ciclo de efectivo [días]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bg2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KC!$R$35:$U$35</c:f>
              <c:numCache>
                <c:formatCode>0</c:formatCode>
                <c:ptCount val="4"/>
                <c:pt idx="1">
                  <c:v>21.052847825243362</c:v>
                </c:pt>
                <c:pt idx="2">
                  <c:v>-10.241821404377518</c:v>
                </c:pt>
                <c:pt idx="3">
                  <c:v>-72.188865703734507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D2A-4409-96A2-89A1F901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626223"/>
        <c:axId val="1847627055"/>
      </c:lineChart>
      <c:catAx>
        <c:axId val="180386265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03866399"/>
        <c:crosses val="autoZero"/>
        <c:auto val="1"/>
        <c:lblAlgn val="ctr"/>
        <c:lblOffset val="100"/>
        <c:noMultiLvlLbl val="0"/>
      </c:catAx>
      <c:valAx>
        <c:axId val="1803866399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03862655"/>
        <c:crosses val="autoZero"/>
        <c:crossBetween val="between"/>
      </c:valAx>
      <c:valAx>
        <c:axId val="1847627055"/>
        <c:scaling>
          <c:orientation val="minMax"/>
          <c:max val="25"/>
          <c:min val="-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47626223"/>
        <c:crosses val="max"/>
        <c:crossBetween val="between"/>
      </c:valAx>
      <c:catAx>
        <c:axId val="1847626223"/>
        <c:scaling>
          <c:orientation val="minMax"/>
        </c:scaling>
        <c:delete val="1"/>
        <c:axPos val="b"/>
        <c:majorTickMark val="out"/>
        <c:minorTickMark val="none"/>
        <c:tickLblPos val="nextTo"/>
        <c:crossAx val="18476270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KC!$Q$63</c:f>
              <c:strCache>
                <c:ptCount val="1"/>
                <c:pt idx="0">
                  <c:v> Cobertura de intereses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9.7425869119801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32-4AE4-99C2-C270D160E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KC!$R$56:$U$56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KC!$R$63:$U$63</c:f>
              <c:numCache>
                <c:formatCode>0</c:formatCode>
                <c:ptCount val="4"/>
                <c:pt idx="0">
                  <c:v>186.3556461492966</c:v>
                </c:pt>
                <c:pt idx="1">
                  <c:v>32.919210480460023</c:v>
                </c:pt>
                <c:pt idx="2" formatCode="0.0">
                  <c:v>5.6907751913319942</c:v>
                </c:pt>
                <c:pt idx="3" formatCode="0.0">
                  <c:v>-3.8895995919950273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32-4AE4-99C2-C270D160E6E9}"/>
            </c:ext>
          </c:extLst>
        </c:ser>
        <c:ser>
          <c:idx val="1"/>
          <c:order val="1"/>
          <c:tx>
            <c:strRef>
              <c:f>KC!$Q$64</c:f>
              <c:strCache>
                <c:ptCount val="1"/>
                <c:pt idx="0">
                  <c:v> Cobertura de intereses**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KC!$R$56:$U$56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KC!$R$64:$U$64</c:f>
              <c:numCache>
                <c:formatCode>0</c:formatCode>
                <c:ptCount val="4"/>
                <c:pt idx="0">
                  <c:v>276.82742596426004</c:v>
                </c:pt>
                <c:pt idx="1">
                  <c:v>70.278193166157109</c:v>
                </c:pt>
                <c:pt idx="2">
                  <c:v>19.219397282804227</c:v>
                </c:pt>
                <c:pt idx="3">
                  <c:v>2.9938608001785023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32-4AE4-99C2-C270D160E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55920895"/>
        <c:axId val="1755934623"/>
      </c:barChart>
      <c:lineChart>
        <c:grouping val="standard"/>
        <c:varyColors val="0"/>
        <c:ser>
          <c:idx val="2"/>
          <c:order val="2"/>
          <c:tx>
            <c:strRef>
              <c:f>KC!$Q$65</c:f>
              <c:strCache>
                <c:ptCount val="1"/>
                <c:pt idx="0">
                  <c:v> Impacto carga financiera 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298293151885089E-2"/>
                  <c:y val="-4.2359073530348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32-4AE4-99C2-C270D160E6E9}"/>
                </c:ext>
              </c:extLst>
            </c:dLbl>
            <c:dLbl>
              <c:idx val="1"/>
              <c:layout>
                <c:manualLayout>
                  <c:x val="-4.7887883660477033E-2"/>
                  <c:y val="-5.5066795589453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32-4AE4-99C2-C270D160E6E9}"/>
                </c:ext>
              </c:extLst>
            </c:dLbl>
            <c:dLbl>
              <c:idx val="2"/>
              <c:layout>
                <c:manualLayout>
                  <c:x val="-5.8298293151885089E-2"/>
                  <c:y val="-5.0830888236418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32-4AE4-99C2-C270D160E6E9}"/>
                </c:ext>
              </c:extLst>
            </c:dLbl>
            <c:dLbl>
              <c:idx val="3"/>
              <c:layout>
                <c:manualLayout>
                  <c:x val="-4.1641637965632208E-2"/>
                  <c:y val="-5.5066795589453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32-4AE4-99C2-C270D160E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KC!$R$56:$U$56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KC!$R$65:$U$65</c:f>
              <c:numCache>
                <c:formatCode>0.00%</c:formatCode>
                <c:ptCount val="4"/>
                <c:pt idx="0">
                  <c:v>4.1561026976119424E-4</c:v>
                </c:pt>
                <c:pt idx="1">
                  <c:v>1.0566620570041786E-3</c:v>
                </c:pt>
                <c:pt idx="2">
                  <c:v>3.0902938227795988E-3</c:v>
                </c:pt>
                <c:pt idx="3">
                  <c:v>1.0191885073537531E-2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32-4AE4-99C2-C270D160E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836031"/>
        <c:axId val="1803841023"/>
      </c:lineChart>
      <c:catAx>
        <c:axId val="175592089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755934623"/>
        <c:crosses val="autoZero"/>
        <c:auto val="1"/>
        <c:lblAlgn val="ctr"/>
        <c:lblOffset val="100"/>
        <c:noMultiLvlLbl val="0"/>
      </c:catAx>
      <c:valAx>
        <c:axId val="1755934623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755920895"/>
        <c:crosses val="autoZero"/>
        <c:crossBetween val="between"/>
      </c:valAx>
      <c:valAx>
        <c:axId val="1803841023"/>
        <c:scaling>
          <c:orientation val="minMax"/>
          <c:min val="-1.5000000000000003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03836031"/>
        <c:crosses val="max"/>
        <c:crossBetween val="between"/>
      </c:valAx>
      <c:catAx>
        <c:axId val="1803836031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8038410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33003</xdr:colOff>
      <xdr:row>46</xdr:row>
      <xdr:rowOff>202955</xdr:rowOff>
    </xdr:from>
    <xdr:to>
      <xdr:col>24</xdr:col>
      <xdr:colOff>642602</xdr:colOff>
      <xdr:row>48</xdr:row>
      <xdr:rowOff>76474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9">
              <a:extLst>
                <a:ext uri="{FF2B5EF4-FFF2-40B4-BE49-F238E27FC236}">
                  <a16:creationId xmlns:a16="http://schemas.microsoft.com/office/drawing/2014/main" id="{28E224EF-B631-4EE9-B272-FA3B812841CB}"/>
                </a:ext>
              </a:extLst>
            </xdr:cNvPr>
            <xdr:cNvSpPr txBox="1"/>
          </xdr:nvSpPr>
          <xdr:spPr>
            <a:xfrm>
              <a:off x="22812407" y="10402032"/>
              <a:ext cx="2133599" cy="2984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Raz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Corriente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Corrientes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Pasivos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Corrientes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9">
              <a:extLst>
                <a:ext uri="{FF2B5EF4-FFF2-40B4-BE49-F238E27FC236}">
                  <a16:creationId xmlns:a16="http://schemas.microsoft.com/office/drawing/2014/main" id="{28E224EF-B631-4EE9-B272-FA3B812841CB}"/>
                </a:ext>
              </a:extLst>
            </xdr:cNvPr>
            <xdr:cNvSpPr txBox="1"/>
          </xdr:nvSpPr>
          <xdr:spPr>
            <a:xfrm>
              <a:off x="22812407" y="10402032"/>
              <a:ext cx="2133599" cy="2984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"Razón Corriente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"Activos Corrientes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Pasivos Corrientes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756902</xdr:colOff>
      <xdr:row>48</xdr:row>
      <xdr:rowOff>32238</xdr:rowOff>
    </xdr:from>
    <xdr:to>
      <xdr:col>27</xdr:col>
      <xdr:colOff>362609</xdr:colOff>
      <xdr:row>49</xdr:row>
      <xdr:rowOff>121378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9">
              <a:extLst>
                <a:ext uri="{FF2B5EF4-FFF2-40B4-BE49-F238E27FC236}">
                  <a16:creationId xmlns:a16="http://schemas.microsoft.com/office/drawing/2014/main" id="{91664383-BFB4-4E19-801A-54F0FD92BD67}"/>
                </a:ext>
              </a:extLst>
            </xdr:cNvPr>
            <xdr:cNvSpPr txBox="1"/>
          </xdr:nvSpPr>
          <xdr:spPr>
            <a:xfrm>
              <a:off x="22774306" y="10868757"/>
              <a:ext cx="4177707" cy="3016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Prueba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Á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cida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Efectivo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+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Inversiones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plazo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+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Pasivos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Corrientes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9">
              <a:extLst>
                <a:ext uri="{FF2B5EF4-FFF2-40B4-BE49-F238E27FC236}">
                  <a16:creationId xmlns:a16="http://schemas.microsoft.com/office/drawing/2014/main" id="{91664383-BFB4-4E19-801A-54F0FD92BD67}"/>
                </a:ext>
              </a:extLst>
            </xdr:cNvPr>
            <xdr:cNvSpPr txBox="1"/>
          </xdr:nvSpPr>
          <xdr:spPr>
            <a:xfrm>
              <a:off x="22774306" y="10868757"/>
              <a:ext cx="4177707" cy="3016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"Prueba Ácida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"Efectivo + Inversiones corto plazo + 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Pasivos Corrientes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623553</xdr:colOff>
      <xdr:row>51</xdr:row>
      <xdr:rowOff>54950</xdr:rowOff>
    </xdr:from>
    <xdr:to>
      <xdr:col>26</xdr:col>
      <xdr:colOff>360289</xdr:colOff>
      <xdr:row>52</xdr:row>
      <xdr:rowOff>4394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9">
              <a:extLst>
                <a:ext uri="{FF2B5EF4-FFF2-40B4-BE49-F238E27FC236}">
                  <a16:creationId xmlns:a16="http://schemas.microsoft.com/office/drawing/2014/main" id="{D04547B4-5F58-4F36-9B71-CFAA0D1E5A7A}"/>
                </a:ext>
              </a:extLst>
            </xdr:cNvPr>
            <xdr:cNvSpPr txBox="1"/>
          </xdr:nvSpPr>
          <xdr:spPr>
            <a:xfrm>
              <a:off x="22640957" y="11316431"/>
              <a:ext cx="3546736" cy="1619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Corriente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a:rPr lang="es-MX" sz="10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Pasivo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Corriente</m:t>
                    </m:r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9">
              <a:extLst>
                <a:ext uri="{FF2B5EF4-FFF2-40B4-BE49-F238E27FC236}">
                  <a16:creationId xmlns:a16="http://schemas.microsoft.com/office/drawing/2014/main" id="{D04547B4-5F58-4F36-9B71-CFAA0D1E5A7A}"/>
                </a:ext>
              </a:extLst>
            </xdr:cNvPr>
            <xdr:cNvSpPr txBox="1"/>
          </xdr:nvSpPr>
          <xdr:spPr>
            <a:xfrm>
              <a:off x="22640957" y="11316431"/>
              <a:ext cx="3546736" cy="1619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"Capital de trabajo = Activo Corriente </a:t>
              </a:r>
              <a:r>
                <a:rPr lang="es-MX" sz="10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"−"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Pasivo Corriente</a:t>
              </a:r>
              <a:r>
                <a:rPr lang="es-CO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709278</xdr:colOff>
      <xdr:row>52</xdr:row>
      <xdr:rowOff>156795</xdr:rowOff>
    </xdr:from>
    <xdr:to>
      <xdr:col>25</xdr:col>
      <xdr:colOff>366377</xdr:colOff>
      <xdr:row>54</xdr:row>
      <xdr:rowOff>58014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2">
              <a:extLst>
                <a:ext uri="{FF2B5EF4-FFF2-40B4-BE49-F238E27FC236}">
                  <a16:creationId xmlns:a16="http://schemas.microsoft.com/office/drawing/2014/main" id="{96D5A4AF-5DA8-4225-96F3-46227FFE89D3}"/>
                </a:ext>
              </a:extLst>
            </xdr:cNvPr>
            <xdr:cNvSpPr txBox="1"/>
          </xdr:nvSpPr>
          <xdr:spPr>
            <a:xfrm>
              <a:off x="22726682" y="11630757"/>
              <a:ext cx="2705099" cy="3261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Liquidez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Efectivo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+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Inversiones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plazo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Obligaciones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exigibles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plazo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2">
              <a:extLst>
                <a:ext uri="{FF2B5EF4-FFF2-40B4-BE49-F238E27FC236}">
                  <a16:creationId xmlns:a16="http://schemas.microsoft.com/office/drawing/2014/main" id="{96D5A4AF-5DA8-4225-96F3-46227FFE89D3}"/>
                </a:ext>
              </a:extLst>
            </xdr:cNvPr>
            <xdr:cNvSpPr txBox="1"/>
          </xdr:nvSpPr>
          <xdr:spPr>
            <a:xfrm>
              <a:off x="22726682" y="11630757"/>
              <a:ext cx="2705099" cy="3261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"Liquidez=" 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"Efectivo + Inversiones corto plazo 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Obligaciones exigibles corto plazo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594977</xdr:colOff>
      <xdr:row>55</xdr:row>
      <xdr:rowOff>33703</xdr:rowOff>
    </xdr:from>
    <xdr:to>
      <xdr:col>25</xdr:col>
      <xdr:colOff>165714</xdr:colOff>
      <xdr:row>56</xdr:row>
      <xdr:rowOff>122266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9">
              <a:extLst>
                <a:ext uri="{FF2B5EF4-FFF2-40B4-BE49-F238E27FC236}">
                  <a16:creationId xmlns:a16="http://schemas.microsoft.com/office/drawing/2014/main" id="{2F866848-63CC-4644-A248-5C5BFF1D88B4}"/>
                </a:ext>
              </a:extLst>
            </xdr:cNvPr>
            <xdr:cNvSpPr txBox="1"/>
          </xdr:nvSpPr>
          <xdr:spPr>
            <a:xfrm>
              <a:off x="22612381" y="12145107"/>
              <a:ext cx="261873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endeudamiento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Pasivo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9">
              <a:extLst>
                <a:ext uri="{FF2B5EF4-FFF2-40B4-BE49-F238E27FC236}">
                  <a16:creationId xmlns:a16="http://schemas.microsoft.com/office/drawing/2014/main" id="{2F866848-63CC-4644-A248-5C5BFF1D88B4}"/>
                </a:ext>
              </a:extLst>
            </xdr:cNvPr>
            <xdr:cNvSpPr txBox="1"/>
          </xdr:nvSpPr>
          <xdr:spPr>
            <a:xfrm>
              <a:off x="22612381" y="12145107"/>
              <a:ext cx="261873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endeudamiento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"Pasivo Total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Activo Total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594977</xdr:colOff>
      <xdr:row>58</xdr:row>
      <xdr:rowOff>120161</xdr:rowOff>
    </xdr:from>
    <xdr:to>
      <xdr:col>25</xdr:col>
      <xdr:colOff>165714</xdr:colOff>
      <xdr:row>59</xdr:row>
      <xdr:rowOff>208724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15">
              <a:extLst>
                <a:ext uri="{FF2B5EF4-FFF2-40B4-BE49-F238E27FC236}">
                  <a16:creationId xmlns:a16="http://schemas.microsoft.com/office/drawing/2014/main" id="{DE75A004-11D1-49BA-B406-30A29E10C5B2}"/>
                </a:ext>
              </a:extLst>
            </xdr:cNvPr>
            <xdr:cNvSpPr txBox="1"/>
          </xdr:nvSpPr>
          <xdr:spPr>
            <a:xfrm>
              <a:off x="22612381" y="12869007"/>
              <a:ext cx="261873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endeudamiento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Deuda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15">
              <a:extLst>
                <a:ext uri="{FF2B5EF4-FFF2-40B4-BE49-F238E27FC236}">
                  <a16:creationId xmlns:a16="http://schemas.microsoft.com/office/drawing/2014/main" id="{DE75A004-11D1-49BA-B406-30A29E10C5B2}"/>
                </a:ext>
              </a:extLst>
            </xdr:cNvPr>
            <xdr:cNvSpPr txBox="1"/>
          </xdr:nvSpPr>
          <xdr:spPr>
            <a:xfrm>
              <a:off x="22612381" y="12869007"/>
              <a:ext cx="261873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endeudamiento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"Total Deuda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Activo Total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518778</xdr:colOff>
      <xdr:row>56</xdr:row>
      <xdr:rowOff>46891</xdr:rowOff>
    </xdr:from>
    <xdr:to>
      <xdr:col>27</xdr:col>
      <xdr:colOff>693809</xdr:colOff>
      <xdr:row>56</xdr:row>
      <xdr:rowOff>203665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1">
              <a:extLst>
                <a:ext uri="{FF2B5EF4-FFF2-40B4-BE49-F238E27FC236}">
                  <a16:creationId xmlns:a16="http://schemas.microsoft.com/office/drawing/2014/main" id="{F9367460-743C-472C-ACCB-541EB183984A}"/>
                </a:ext>
              </a:extLst>
            </xdr:cNvPr>
            <xdr:cNvSpPr txBox="1"/>
          </xdr:nvSpPr>
          <xdr:spPr>
            <a:xfrm>
              <a:off x="22536182" y="12583256"/>
              <a:ext cx="4747031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Total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Deuda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pasivos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terceros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obligaciones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que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devengan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intereses</m:t>
                    </m:r>
                  </m:oMath>
                </m:oMathPara>
              </a14:m>
              <a:endParaRPr lang="es-MX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1">
              <a:extLst>
                <a:ext uri="{FF2B5EF4-FFF2-40B4-BE49-F238E27FC236}">
                  <a16:creationId xmlns:a16="http://schemas.microsoft.com/office/drawing/2014/main" id="{F9367460-743C-472C-ACCB-541EB183984A}"/>
                </a:ext>
              </a:extLst>
            </xdr:cNvPr>
            <xdr:cNvSpPr txBox="1"/>
          </xdr:nvSpPr>
          <xdr:spPr>
            <a:xfrm>
              <a:off x="22536182" y="12583256"/>
              <a:ext cx="4747031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"Total Deuda = pasivos con terceros = obligaciones que devengan intereses</a:t>
              </a:r>
              <a:r>
                <a:rPr lang="es-CO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MX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591314</xdr:colOff>
      <xdr:row>63</xdr:row>
      <xdr:rowOff>81328</xdr:rowOff>
    </xdr:from>
    <xdr:to>
      <xdr:col>25</xdr:col>
      <xdr:colOff>615462</xdr:colOff>
      <xdr:row>64</xdr:row>
      <xdr:rowOff>169891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9">
              <a:extLst>
                <a:ext uri="{FF2B5EF4-FFF2-40B4-BE49-F238E27FC236}">
                  <a16:creationId xmlns:a16="http://schemas.microsoft.com/office/drawing/2014/main" id="{68FAAA4D-DD12-4888-92CA-725B229BBB5A}"/>
                </a:ext>
              </a:extLst>
            </xdr:cNvPr>
            <xdr:cNvSpPr txBox="1"/>
          </xdr:nvSpPr>
          <xdr:spPr>
            <a:xfrm>
              <a:off x="23781026" y="13892578"/>
              <a:ext cx="3072148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financiero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Deuda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9">
              <a:extLst>
                <a:ext uri="{FF2B5EF4-FFF2-40B4-BE49-F238E27FC236}">
                  <a16:creationId xmlns:a16="http://schemas.microsoft.com/office/drawing/2014/main" id="{68FAAA4D-DD12-4888-92CA-725B229BBB5A}"/>
                </a:ext>
              </a:extLst>
            </xdr:cNvPr>
            <xdr:cNvSpPr txBox="1"/>
          </xdr:nvSpPr>
          <xdr:spPr>
            <a:xfrm>
              <a:off x="23781026" y="13892578"/>
              <a:ext cx="3072148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"Apalancamiento financiero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"Prom. Total Deuda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Patrimonio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633077</xdr:colOff>
      <xdr:row>65</xdr:row>
      <xdr:rowOff>140676</xdr:rowOff>
    </xdr:from>
    <xdr:to>
      <xdr:col>24</xdr:col>
      <xdr:colOff>660406</xdr:colOff>
      <xdr:row>67</xdr:row>
      <xdr:rowOff>34315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C66042C2-FA74-433E-BA80-7AB667752078}"/>
                </a:ext>
              </a:extLst>
            </xdr:cNvPr>
            <xdr:cNvSpPr txBox="1"/>
          </xdr:nvSpPr>
          <xdr:spPr>
            <a:xfrm>
              <a:off x="22650481" y="14354907"/>
              <a:ext cx="2313329" cy="29662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Cobertura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intereses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EBIT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Intereses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C66042C2-FA74-433E-BA80-7AB667752078}"/>
                </a:ext>
              </a:extLst>
            </xdr:cNvPr>
            <xdr:cNvSpPr txBox="1"/>
          </xdr:nvSpPr>
          <xdr:spPr>
            <a:xfrm>
              <a:off x="22650481" y="14354907"/>
              <a:ext cx="2313329" cy="29662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"Cobertura de intereses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"EBIT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Intereses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699753</xdr:colOff>
      <xdr:row>71</xdr:row>
      <xdr:rowOff>33703</xdr:rowOff>
    </xdr:from>
    <xdr:to>
      <xdr:col>25</xdr:col>
      <xdr:colOff>321557</xdr:colOff>
      <xdr:row>72</xdr:row>
      <xdr:rowOff>137085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9">
              <a:extLst>
                <a:ext uri="{FF2B5EF4-FFF2-40B4-BE49-F238E27FC236}">
                  <a16:creationId xmlns:a16="http://schemas.microsoft.com/office/drawing/2014/main" id="{7FF479AC-12E6-4DA4-8EC2-5D1E736B843F}"/>
                </a:ext>
              </a:extLst>
            </xdr:cNvPr>
            <xdr:cNvSpPr txBox="1"/>
          </xdr:nvSpPr>
          <xdr:spPr>
            <a:xfrm>
              <a:off x="22717157" y="15288357"/>
              <a:ext cx="2669804" cy="3158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Impacto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carga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finaniciera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Intereses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1" name="CuadroTexto 9">
              <a:extLst>
                <a:ext uri="{FF2B5EF4-FFF2-40B4-BE49-F238E27FC236}">
                  <a16:creationId xmlns:a16="http://schemas.microsoft.com/office/drawing/2014/main" id="{7FF479AC-12E6-4DA4-8EC2-5D1E736B843F}"/>
                </a:ext>
              </a:extLst>
            </xdr:cNvPr>
            <xdr:cNvSpPr txBox="1"/>
          </xdr:nvSpPr>
          <xdr:spPr>
            <a:xfrm>
              <a:off x="22717157" y="15288357"/>
              <a:ext cx="2669804" cy="3158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"Impacto de la carga finaniciera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"Intereses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670446</xdr:colOff>
      <xdr:row>85</xdr:row>
      <xdr:rowOff>65942</xdr:rowOff>
    </xdr:from>
    <xdr:to>
      <xdr:col>27</xdr:col>
      <xdr:colOff>318362</xdr:colOff>
      <xdr:row>86</xdr:row>
      <xdr:rowOff>37367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0D2BFF1D-E4B5-4FAA-B634-20D12C5CF09E}"/>
                </a:ext>
              </a:extLst>
            </xdr:cNvPr>
            <xdr:cNvSpPr txBox="1"/>
          </xdr:nvSpPr>
          <xdr:spPr>
            <a:xfrm>
              <a:off x="23860158" y="18126807"/>
              <a:ext cx="4219916" cy="18390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Neto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×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×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Multiplicador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0D2BFF1D-E4B5-4FAA-B634-20D12C5CF09E}"/>
                </a:ext>
              </a:extLst>
            </xdr:cNvPr>
            <xdr:cNvSpPr txBox="1"/>
          </xdr:nvSpPr>
          <xdr:spPr>
            <a:xfrm>
              <a:off x="23860158" y="18126807"/>
              <a:ext cx="4219916" cy="18390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"ROE = Margen Neto × Rotación de Activos × Multiplicador de Capital</a:t>
              </a:r>
              <a:r>
                <a:rPr lang="es-CO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537828</xdr:colOff>
      <xdr:row>3</xdr:row>
      <xdr:rowOff>153865</xdr:rowOff>
    </xdr:from>
    <xdr:to>
      <xdr:col>25</xdr:col>
      <xdr:colOff>660452</xdr:colOff>
      <xdr:row>5</xdr:row>
      <xdr:rowOff>25716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6A2FD2B7-C3FD-4AE5-8A3D-C3A713D4B84B}"/>
                </a:ext>
              </a:extLst>
            </xdr:cNvPr>
            <xdr:cNvSpPr txBox="1"/>
          </xdr:nvSpPr>
          <xdr:spPr>
            <a:xfrm>
              <a:off x="22555232" y="791307"/>
              <a:ext cx="3170624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6A2FD2B7-C3FD-4AE5-8A3D-C3A713D4B84B}"/>
                </a:ext>
              </a:extLst>
            </xdr:cNvPr>
            <xdr:cNvSpPr txBox="1"/>
          </xdr:nvSpPr>
          <xdr:spPr>
            <a:xfrm>
              <a:off x="22555232" y="791307"/>
              <a:ext cx="3170624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Activos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Totales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704722</xdr:colOff>
      <xdr:row>8</xdr:row>
      <xdr:rowOff>132584</xdr:rowOff>
    </xdr:from>
    <xdr:to>
      <xdr:col>25</xdr:col>
      <xdr:colOff>429227</xdr:colOff>
      <xdr:row>11</xdr:row>
      <xdr:rowOff>7012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8">
              <a:extLst>
                <a:ext uri="{FF2B5EF4-FFF2-40B4-BE49-F238E27FC236}">
                  <a16:creationId xmlns:a16="http://schemas.microsoft.com/office/drawing/2014/main" id="{69E0B2AC-C5C5-4407-AE3B-8ED9E8F4C471}"/>
                </a:ext>
              </a:extLst>
            </xdr:cNvPr>
            <xdr:cNvSpPr txBox="1"/>
          </xdr:nvSpPr>
          <xdr:spPr>
            <a:xfrm>
              <a:off x="22722126" y="1832430"/>
              <a:ext cx="2772505" cy="5118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Fijos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Fijos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8" name="CuadroTexto 8">
              <a:extLst>
                <a:ext uri="{FF2B5EF4-FFF2-40B4-BE49-F238E27FC236}">
                  <a16:creationId xmlns:a16="http://schemas.microsoft.com/office/drawing/2014/main" id="{69E0B2AC-C5C5-4407-AE3B-8ED9E8F4C471}"/>
                </a:ext>
              </a:extLst>
            </xdr:cNvPr>
            <xdr:cNvSpPr txBox="1"/>
          </xdr:nvSpPr>
          <xdr:spPr>
            <a:xfrm>
              <a:off x="22722126" y="1832430"/>
              <a:ext cx="2772505" cy="5118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Activos Fijos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Fijos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543212</xdr:colOff>
      <xdr:row>14</xdr:row>
      <xdr:rowOff>78141</xdr:rowOff>
    </xdr:from>
    <xdr:to>
      <xdr:col>25</xdr:col>
      <xdr:colOff>705079</xdr:colOff>
      <xdr:row>15</xdr:row>
      <xdr:rowOff>166704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4">
              <a:extLst>
                <a:ext uri="{FF2B5EF4-FFF2-40B4-BE49-F238E27FC236}">
                  <a16:creationId xmlns:a16="http://schemas.microsoft.com/office/drawing/2014/main" id="{AE2D462D-FA71-4324-9A52-11DAB5902968}"/>
                </a:ext>
              </a:extLst>
            </xdr:cNvPr>
            <xdr:cNvSpPr txBox="1"/>
          </xdr:nvSpPr>
          <xdr:spPr>
            <a:xfrm>
              <a:off x="22560616" y="3052872"/>
              <a:ext cx="320986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Costos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9" name="CuadroTexto 14">
              <a:extLst>
                <a:ext uri="{FF2B5EF4-FFF2-40B4-BE49-F238E27FC236}">
                  <a16:creationId xmlns:a16="http://schemas.microsoft.com/office/drawing/2014/main" id="{AE2D462D-FA71-4324-9A52-11DAB5902968}"/>
                </a:ext>
              </a:extLst>
            </xdr:cNvPr>
            <xdr:cNvSpPr txBox="1"/>
          </xdr:nvSpPr>
          <xdr:spPr>
            <a:xfrm>
              <a:off x="22560616" y="3052872"/>
              <a:ext cx="320986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Inventarios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"Costos de 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Inventarios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528748</xdr:colOff>
      <xdr:row>16</xdr:row>
      <xdr:rowOff>130409</xdr:rowOff>
    </xdr:from>
    <xdr:to>
      <xdr:col>25</xdr:col>
      <xdr:colOff>521371</xdr:colOff>
      <xdr:row>18</xdr:row>
      <xdr:rowOff>190893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2">
              <a:extLst>
                <a:ext uri="{FF2B5EF4-FFF2-40B4-BE49-F238E27FC236}">
                  <a16:creationId xmlns:a16="http://schemas.microsoft.com/office/drawing/2014/main" id="{0C82397E-BFF5-4CF7-B64C-6F8388EA536F}"/>
                </a:ext>
              </a:extLst>
            </xdr:cNvPr>
            <xdr:cNvSpPr txBox="1"/>
          </xdr:nvSpPr>
          <xdr:spPr>
            <a:xfrm>
              <a:off x="22546152" y="3530101"/>
              <a:ext cx="3040623" cy="4854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0" name="CuadroTexto 12">
              <a:extLst>
                <a:ext uri="{FF2B5EF4-FFF2-40B4-BE49-F238E27FC236}">
                  <a16:creationId xmlns:a16="http://schemas.microsoft.com/office/drawing/2014/main" id="{0C82397E-BFF5-4CF7-B64C-6F8388EA536F}"/>
                </a:ext>
              </a:extLst>
            </xdr:cNvPr>
            <xdr:cNvSpPr txBox="1"/>
          </xdr:nvSpPr>
          <xdr:spPr>
            <a:xfrm>
              <a:off x="22546152" y="3530101"/>
              <a:ext cx="3040623" cy="4854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Inventario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Inventarios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572201</xdr:colOff>
      <xdr:row>20</xdr:row>
      <xdr:rowOff>128061</xdr:rowOff>
    </xdr:from>
    <xdr:to>
      <xdr:col>26</xdr:col>
      <xdr:colOff>676393</xdr:colOff>
      <xdr:row>22</xdr:row>
      <xdr:rowOff>124920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15">
              <a:extLst>
                <a:ext uri="{FF2B5EF4-FFF2-40B4-BE49-F238E27FC236}">
                  <a16:creationId xmlns:a16="http://schemas.microsoft.com/office/drawing/2014/main" id="{A6F896A1-6EFA-4808-9251-C33FA774AB69}"/>
                </a:ext>
              </a:extLst>
            </xdr:cNvPr>
            <xdr:cNvSpPr txBox="1"/>
          </xdr:nvSpPr>
          <xdr:spPr>
            <a:xfrm>
              <a:off x="22589605" y="4377676"/>
              <a:ext cx="3914192" cy="4218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1" name="CuadroTexto 15">
              <a:extLst>
                <a:ext uri="{FF2B5EF4-FFF2-40B4-BE49-F238E27FC236}">
                  <a16:creationId xmlns:a16="http://schemas.microsoft.com/office/drawing/2014/main" id="{A6F896A1-6EFA-4808-9251-C33FA774AB69}"/>
                </a:ext>
              </a:extLst>
            </xdr:cNvPr>
            <xdr:cNvSpPr txBox="1"/>
          </xdr:nvSpPr>
          <xdr:spPr>
            <a:xfrm>
              <a:off x="22589605" y="4377676"/>
              <a:ext cx="3914192" cy="4218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720520</xdr:colOff>
      <xdr:row>22</xdr:row>
      <xdr:rowOff>114035</xdr:rowOff>
    </xdr:from>
    <xdr:to>
      <xdr:col>26</xdr:col>
      <xdr:colOff>566714</xdr:colOff>
      <xdr:row>24</xdr:row>
      <xdr:rowOff>1069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13">
              <a:extLst>
                <a:ext uri="{FF2B5EF4-FFF2-40B4-BE49-F238E27FC236}">
                  <a16:creationId xmlns:a16="http://schemas.microsoft.com/office/drawing/2014/main" id="{7CD3966D-E107-4B5C-9B8D-91A7E396EC40}"/>
                </a:ext>
              </a:extLst>
            </xdr:cNvPr>
            <xdr:cNvSpPr txBox="1"/>
          </xdr:nvSpPr>
          <xdr:spPr>
            <a:xfrm>
              <a:off x="22737924" y="4788612"/>
              <a:ext cx="3656194" cy="31199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2" name="CuadroTexto 13">
              <a:extLst>
                <a:ext uri="{FF2B5EF4-FFF2-40B4-BE49-F238E27FC236}">
                  <a16:creationId xmlns:a16="http://schemas.microsoft.com/office/drawing/2014/main" id="{7CD3966D-E107-4B5C-9B8D-91A7E396EC40}"/>
                </a:ext>
              </a:extLst>
            </xdr:cNvPr>
            <xdr:cNvSpPr txBox="1"/>
          </xdr:nvSpPr>
          <xdr:spPr>
            <a:xfrm>
              <a:off x="22737924" y="4788612"/>
              <a:ext cx="3656194" cy="31199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565578</xdr:colOff>
      <xdr:row>28</xdr:row>
      <xdr:rowOff>23708</xdr:rowOff>
    </xdr:from>
    <xdr:to>
      <xdr:col>26</xdr:col>
      <xdr:colOff>513850</xdr:colOff>
      <xdr:row>29</xdr:row>
      <xdr:rowOff>141068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">
              <a:extLst>
                <a:ext uri="{FF2B5EF4-FFF2-40B4-BE49-F238E27FC236}">
                  <a16:creationId xmlns:a16="http://schemas.microsoft.com/office/drawing/2014/main" id="{1CB4E506-C6E6-4CD4-BA08-49084FDD864F}"/>
                </a:ext>
              </a:extLst>
            </xdr:cNvPr>
            <xdr:cNvSpPr txBox="1"/>
          </xdr:nvSpPr>
          <xdr:spPr>
            <a:xfrm>
              <a:off x="22582982" y="6185650"/>
              <a:ext cx="3758272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Compras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3" name="CuadroTexto 2">
              <a:extLst>
                <a:ext uri="{FF2B5EF4-FFF2-40B4-BE49-F238E27FC236}">
                  <a16:creationId xmlns:a16="http://schemas.microsoft.com/office/drawing/2014/main" id="{1CB4E506-C6E6-4CD4-BA08-49084FDD864F}"/>
                </a:ext>
              </a:extLst>
            </xdr:cNvPr>
            <xdr:cNvSpPr txBox="1"/>
          </xdr:nvSpPr>
          <xdr:spPr>
            <a:xfrm>
              <a:off x="22582982" y="6185650"/>
              <a:ext cx="3758272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"Compras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738918</xdr:colOff>
      <xdr:row>26</xdr:row>
      <xdr:rowOff>0</xdr:rowOff>
    </xdr:from>
    <xdr:to>
      <xdr:col>27</xdr:col>
      <xdr:colOff>4242</xdr:colOff>
      <xdr:row>26</xdr:row>
      <xdr:rowOff>70888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11">
              <a:extLst>
                <a:ext uri="{FF2B5EF4-FFF2-40B4-BE49-F238E27FC236}">
                  <a16:creationId xmlns:a16="http://schemas.microsoft.com/office/drawing/2014/main" id="{C24BEC1B-21FF-4F99-BB7B-65D9A8F0D545}"/>
                </a:ext>
              </a:extLst>
            </xdr:cNvPr>
            <xdr:cNvSpPr txBox="1"/>
          </xdr:nvSpPr>
          <xdr:spPr>
            <a:xfrm>
              <a:off x="22756322" y="5863576"/>
              <a:ext cx="383732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Compras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Costo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Final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Inicial</m:t>
                    </m:r>
                  </m:oMath>
                </m:oMathPara>
              </a14:m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4" name="CuadroTexto 11">
              <a:extLst>
                <a:ext uri="{FF2B5EF4-FFF2-40B4-BE49-F238E27FC236}">
                  <a16:creationId xmlns:a16="http://schemas.microsoft.com/office/drawing/2014/main" id="{C24BEC1B-21FF-4F99-BB7B-65D9A8F0D545}"/>
                </a:ext>
              </a:extLst>
            </xdr:cNvPr>
            <xdr:cNvSpPr txBox="1"/>
          </xdr:nvSpPr>
          <xdr:spPr>
            <a:xfrm>
              <a:off x="22756322" y="5863576"/>
              <a:ext cx="383732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"Compras = Costo de Ventas + Inventario Final – Inventario Inicial</a:t>
              </a:r>
              <a:r>
                <a:rPr lang="es-CO" sz="1000" b="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483577</xdr:colOff>
      <xdr:row>29</xdr:row>
      <xdr:rowOff>67070</xdr:rowOff>
    </xdr:from>
    <xdr:to>
      <xdr:col>27</xdr:col>
      <xdr:colOff>3764</xdr:colOff>
      <xdr:row>30</xdr:row>
      <xdr:rowOff>174093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13">
              <a:extLst>
                <a:ext uri="{FF2B5EF4-FFF2-40B4-BE49-F238E27FC236}">
                  <a16:creationId xmlns:a16="http://schemas.microsoft.com/office/drawing/2014/main" id="{2F65915B-9D3B-4F1D-8F6E-E591BA7D6990}"/>
                </a:ext>
              </a:extLst>
            </xdr:cNvPr>
            <xdr:cNvSpPr txBox="1"/>
          </xdr:nvSpPr>
          <xdr:spPr>
            <a:xfrm>
              <a:off x="22500981" y="6653974"/>
              <a:ext cx="4092187" cy="31950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5" name="CuadroTexto 13">
              <a:extLst>
                <a:ext uri="{FF2B5EF4-FFF2-40B4-BE49-F238E27FC236}">
                  <a16:creationId xmlns:a16="http://schemas.microsoft.com/office/drawing/2014/main" id="{2F65915B-9D3B-4F1D-8F6E-E591BA7D6990}"/>
                </a:ext>
              </a:extLst>
            </xdr:cNvPr>
            <xdr:cNvSpPr txBox="1"/>
          </xdr:nvSpPr>
          <xdr:spPr>
            <a:xfrm>
              <a:off x="22500981" y="6653974"/>
              <a:ext cx="4092187" cy="31950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673663</xdr:colOff>
      <xdr:row>33</xdr:row>
      <xdr:rowOff>0</xdr:rowOff>
    </xdr:from>
    <xdr:to>
      <xdr:col>27</xdr:col>
      <xdr:colOff>97057</xdr:colOff>
      <xdr:row>33</xdr:row>
      <xdr:rowOff>102935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1">
              <a:extLst>
                <a:ext uri="{FF2B5EF4-FFF2-40B4-BE49-F238E27FC236}">
                  <a16:creationId xmlns:a16="http://schemas.microsoft.com/office/drawing/2014/main" id="{755D0549-2164-4DF3-AAB5-84688F6154FE}"/>
                </a:ext>
              </a:extLst>
            </xdr:cNvPr>
            <xdr:cNvSpPr txBox="1"/>
          </xdr:nvSpPr>
          <xdr:spPr>
            <a:xfrm>
              <a:off x="22691067" y="7595469"/>
              <a:ext cx="399539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Ciclo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efectivo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CxC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CxP</m:t>
                    </m:r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6" name="CuadroTexto 1">
              <a:extLst>
                <a:ext uri="{FF2B5EF4-FFF2-40B4-BE49-F238E27FC236}">
                  <a16:creationId xmlns:a16="http://schemas.microsoft.com/office/drawing/2014/main" id="{755D0549-2164-4DF3-AAB5-84688F6154FE}"/>
                </a:ext>
              </a:extLst>
            </xdr:cNvPr>
            <xdr:cNvSpPr txBox="1"/>
          </xdr:nvSpPr>
          <xdr:spPr>
            <a:xfrm>
              <a:off x="22691067" y="7595469"/>
              <a:ext cx="399539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"Ciclo de efectivo = Días de Inventario + Días de CxC – Días de CxP</a:t>
              </a:r>
              <a:r>
                <a:rPr lang="es-CO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649643</xdr:colOff>
      <xdr:row>38</xdr:row>
      <xdr:rowOff>27260</xdr:rowOff>
    </xdr:from>
    <xdr:to>
      <xdr:col>25</xdr:col>
      <xdr:colOff>508465</xdr:colOff>
      <xdr:row>39</xdr:row>
      <xdr:rowOff>111655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13">
              <a:extLst>
                <a:ext uri="{FF2B5EF4-FFF2-40B4-BE49-F238E27FC236}">
                  <a16:creationId xmlns:a16="http://schemas.microsoft.com/office/drawing/2014/main" id="{81541321-2D3F-4A45-818A-703FB87EBD7B}"/>
                </a:ext>
              </a:extLst>
            </xdr:cNvPr>
            <xdr:cNvSpPr txBox="1"/>
          </xdr:nvSpPr>
          <xdr:spPr>
            <a:xfrm>
              <a:off x="22667047" y="8526491"/>
              <a:ext cx="2906822" cy="2968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7" name="CuadroTexto 13">
              <a:extLst>
                <a:ext uri="{FF2B5EF4-FFF2-40B4-BE49-F238E27FC236}">
                  <a16:creationId xmlns:a16="http://schemas.microsoft.com/office/drawing/2014/main" id="{81541321-2D3F-4A45-818A-703FB87EBD7B}"/>
                </a:ext>
              </a:extLst>
            </xdr:cNvPr>
            <xdr:cNvSpPr txBox="1"/>
          </xdr:nvSpPr>
          <xdr:spPr>
            <a:xfrm>
              <a:off x="22667047" y="8526491"/>
              <a:ext cx="2906822" cy="2968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670766</xdr:colOff>
      <xdr:row>34</xdr:row>
      <xdr:rowOff>186740</xdr:rowOff>
    </xdr:from>
    <xdr:to>
      <xdr:col>27</xdr:col>
      <xdr:colOff>261506</xdr:colOff>
      <xdr:row>36</xdr:row>
      <xdr:rowOff>119576</xdr:rowOff>
    </xdr:to>
    <xdr:sp macro="" textlink="">
      <xdr:nvSpPr>
        <xdr:cNvPr id="28" name="CuadroTexto 11">
          <a:extLst>
            <a:ext uri="{FF2B5EF4-FFF2-40B4-BE49-F238E27FC236}">
              <a16:creationId xmlns:a16="http://schemas.microsoft.com/office/drawing/2014/main" id="{FE3F7E7D-5589-44E6-BA9A-1A163089AA11}"/>
            </a:ext>
          </a:extLst>
        </xdr:cNvPr>
        <xdr:cNvSpPr txBox="1"/>
      </xdr:nvSpPr>
      <xdr:spPr>
        <a:xfrm>
          <a:off x="22688170" y="8048528"/>
          <a:ext cx="4162740" cy="3577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Activos Corrientes – Pasivos Corrientes</a:t>
          </a:r>
        </a:p>
      </xdr:txBody>
    </xdr:sp>
    <xdr:clientData/>
  </xdr:twoCellAnchor>
  <xdr:twoCellAnchor>
    <xdr:from>
      <xdr:col>21</xdr:col>
      <xdr:colOff>672419</xdr:colOff>
      <xdr:row>40</xdr:row>
      <xdr:rowOff>11371</xdr:rowOff>
    </xdr:from>
    <xdr:to>
      <xdr:col>27</xdr:col>
      <xdr:colOff>331195</xdr:colOff>
      <xdr:row>41</xdr:row>
      <xdr:rowOff>156687</xdr:rowOff>
    </xdr:to>
    <xdr:sp macro="" textlink="">
      <xdr:nvSpPr>
        <xdr:cNvPr id="29" name="CuadroTexto 11">
          <a:extLst>
            <a:ext uri="{FF2B5EF4-FFF2-40B4-BE49-F238E27FC236}">
              <a16:creationId xmlns:a16="http://schemas.microsoft.com/office/drawing/2014/main" id="{2BBD3875-9457-472F-B643-062B0FF9A376}"/>
            </a:ext>
          </a:extLst>
        </xdr:cNvPr>
        <xdr:cNvSpPr txBox="1"/>
      </xdr:nvSpPr>
      <xdr:spPr>
        <a:xfrm>
          <a:off x="22689823" y="9148044"/>
          <a:ext cx="4230776" cy="3577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Efectivo + CxC + Inventario + Otras CxC – CxP – Otras CxP</a:t>
          </a:r>
          <a:endParaRPr lang="es-CO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21</xdr:col>
      <xdr:colOff>634321</xdr:colOff>
      <xdr:row>43</xdr:row>
      <xdr:rowOff>43608</xdr:rowOff>
    </xdr:from>
    <xdr:to>
      <xdr:col>25</xdr:col>
      <xdr:colOff>493143</xdr:colOff>
      <xdr:row>44</xdr:row>
      <xdr:rowOff>134807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13">
              <a:extLst>
                <a:ext uri="{FF2B5EF4-FFF2-40B4-BE49-F238E27FC236}">
                  <a16:creationId xmlns:a16="http://schemas.microsoft.com/office/drawing/2014/main" id="{8DC86928-7F4A-4DDD-AD2B-C62BCB2C1BB8}"/>
                </a:ext>
              </a:extLst>
            </xdr:cNvPr>
            <xdr:cNvSpPr txBox="1"/>
          </xdr:nvSpPr>
          <xdr:spPr>
            <a:xfrm>
              <a:off x="22651725" y="9605243"/>
              <a:ext cx="2906822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0" name="CuadroTexto 13">
              <a:extLst>
                <a:ext uri="{FF2B5EF4-FFF2-40B4-BE49-F238E27FC236}">
                  <a16:creationId xmlns:a16="http://schemas.microsoft.com/office/drawing/2014/main" id="{8DC86928-7F4A-4DDD-AD2B-C62BCB2C1BB8}"/>
                </a:ext>
              </a:extLst>
            </xdr:cNvPr>
            <xdr:cNvSpPr txBox="1"/>
          </xdr:nvSpPr>
          <xdr:spPr>
            <a:xfrm>
              <a:off x="22651725" y="9605243"/>
              <a:ext cx="2906822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699753</xdr:colOff>
      <xdr:row>60</xdr:row>
      <xdr:rowOff>185371</xdr:rowOff>
    </xdr:from>
    <xdr:to>
      <xdr:col>25</xdr:col>
      <xdr:colOff>454269</xdr:colOff>
      <xdr:row>62</xdr:row>
      <xdr:rowOff>51195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9">
              <a:extLst>
                <a:ext uri="{FF2B5EF4-FFF2-40B4-BE49-F238E27FC236}">
                  <a16:creationId xmlns:a16="http://schemas.microsoft.com/office/drawing/2014/main" id="{3D8CB757-2ECB-4897-B3DA-72766FA3D393}"/>
                </a:ext>
              </a:extLst>
            </xdr:cNvPr>
            <xdr:cNvSpPr txBox="1"/>
          </xdr:nvSpPr>
          <xdr:spPr>
            <a:xfrm>
              <a:off x="23889465" y="13359179"/>
              <a:ext cx="2802516" cy="29078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financiero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Pasivo</m:t>
                        </m:r>
                        <m:r>
                          <m:rPr>
                            <m:nor/>
                          </m:rPr>
                          <a:rPr lang="es-MX" sz="1000" b="0" i="0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Total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1" name="CuadroTexto 9">
              <a:extLst>
                <a:ext uri="{FF2B5EF4-FFF2-40B4-BE49-F238E27FC236}">
                  <a16:creationId xmlns:a16="http://schemas.microsoft.com/office/drawing/2014/main" id="{3D8CB757-2ECB-4897-B3DA-72766FA3D393}"/>
                </a:ext>
              </a:extLst>
            </xdr:cNvPr>
            <xdr:cNvSpPr txBox="1"/>
          </xdr:nvSpPr>
          <xdr:spPr>
            <a:xfrm>
              <a:off x="23889465" y="13359179"/>
              <a:ext cx="2802516" cy="29078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"Apalancamiento financiero = " </a:t>
              </a:r>
              <a:r>
                <a:rPr lang="es-MX" sz="10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"Prom. Pasivo Total</a:t>
              </a:r>
              <a:r>
                <a:rPr lang="es-MX" sz="10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Patrimonio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633077</xdr:colOff>
      <xdr:row>67</xdr:row>
      <xdr:rowOff>204420</xdr:rowOff>
    </xdr:from>
    <xdr:to>
      <xdr:col>24</xdr:col>
      <xdr:colOff>660406</xdr:colOff>
      <xdr:row>69</xdr:row>
      <xdr:rowOff>76079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9">
              <a:extLst>
                <a:ext uri="{FF2B5EF4-FFF2-40B4-BE49-F238E27FC236}">
                  <a16:creationId xmlns:a16="http://schemas.microsoft.com/office/drawing/2014/main" id="{6155FA01-F5ED-4729-9B41-A5707481EA62}"/>
                </a:ext>
              </a:extLst>
            </xdr:cNvPr>
            <xdr:cNvSpPr txBox="1"/>
          </xdr:nvSpPr>
          <xdr:spPr>
            <a:xfrm>
              <a:off x="22650481" y="14821632"/>
              <a:ext cx="2313329" cy="29662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Cobertura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intereses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EBITDA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Intereses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2" name="CuadroTexto 9">
              <a:extLst>
                <a:ext uri="{FF2B5EF4-FFF2-40B4-BE49-F238E27FC236}">
                  <a16:creationId xmlns:a16="http://schemas.microsoft.com/office/drawing/2014/main" id="{6155FA01-F5ED-4729-9B41-A5707481EA62}"/>
                </a:ext>
              </a:extLst>
            </xdr:cNvPr>
            <xdr:cNvSpPr txBox="1"/>
          </xdr:nvSpPr>
          <xdr:spPr>
            <a:xfrm>
              <a:off x="22650481" y="14821632"/>
              <a:ext cx="2313329" cy="29662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"Cobertura de intereses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"EBITDA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Intereses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21</xdr:col>
      <xdr:colOff>578827</xdr:colOff>
      <xdr:row>76</xdr:row>
      <xdr:rowOff>128954</xdr:rowOff>
    </xdr:from>
    <xdr:to>
      <xdr:col>24</xdr:col>
      <xdr:colOff>588351</xdr:colOff>
      <xdr:row>78</xdr:row>
      <xdr:rowOff>119350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24">
              <a:extLst>
                <a:ext uri="{FF2B5EF4-FFF2-40B4-BE49-F238E27FC236}">
                  <a16:creationId xmlns:a16="http://schemas.microsoft.com/office/drawing/2014/main" id="{4962085C-D9F1-4410-B114-BDE3C855457E}"/>
                </a:ext>
              </a:extLst>
            </xdr:cNvPr>
            <xdr:cNvSpPr txBox="1"/>
          </xdr:nvSpPr>
          <xdr:spPr>
            <a:xfrm>
              <a:off x="23768539" y="16424031"/>
              <a:ext cx="2295524" cy="39337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CO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000"/>
            </a:p>
          </xdr:txBody>
        </xdr:sp>
      </mc:Choice>
      <mc:Fallback xmlns="">
        <xdr:sp macro="" textlink="">
          <xdr:nvSpPr>
            <xdr:cNvPr id="33" name="CuadroTexto 24">
              <a:extLst>
                <a:ext uri="{FF2B5EF4-FFF2-40B4-BE49-F238E27FC236}">
                  <a16:creationId xmlns:a16="http://schemas.microsoft.com/office/drawing/2014/main" id="{4962085C-D9F1-4410-B114-BDE3C855457E}"/>
                </a:ext>
              </a:extLst>
            </xdr:cNvPr>
            <xdr:cNvSpPr txBox="1"/>
          </xdr:nvSpPr>
          <xdr:spPr>
            <a:xfrm>
              <a:off x="23768539" y="16424031"/>
              <a:ext cx="2295524" cy="39337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"ROA = </a:t>
              </a:r>
              <a:r>
                <a:rPr lang="es-CO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Activos Totales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/>
            </a:p>
          </xdr:txBody>
        </xdr:sp>
      </mc:Fallback>
    </mc:AlternateContent>
    <xdr:clientData/>
  </xdr:twoCellAnchor>
  <xdr:twoCellAnchor>
    <xdr:from>
      <xdr:col>21</xdr:col>
      <xdr:colOff>693125</xdr:colOff>
      <xdr:row>73</xdr:row>
      <xdr:rowOff>153866</xdr:rowOff>
    </xdr:from>
    <xdr:to>
      <xdr:col>25</xdr:col>
      <xdr:colOff>197826</xdr:colOff>
      <xdr:row>75</xdr:row>
      <xdr:rowOff>140030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26">
              <a:extLst>
                <a:ext uri="{FF2B5EF4-FFF2-40B4-BE49-F238E27FC236}">
                  <a16:creationId xmlns:a16="http://schemas.microsoft.com/office/drawing/2014/main" id="{E02730EA-8666-43B4-8ABB-EE973C07453F}"/>
                </a:ext>
              </a:extLst>
            </xdr:cNvPr>
            <xdr:cNvSpPr txBox="1"/>
          </xdr:nvSpPr>
          <xdr:spPr>
            <a:xfrm>
              <a:off x="23882837" y="15833481"/>
              <a:ext cx="2552701" cy="389145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Operacional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CO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EBIT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000"/>
            </a:p>
          </xdr:txBody>
        </xdr:sp>
      </mc:Choice>
      <mc:Fallback xmlns="">
        <xdr:sp macro="" textlink="">
          <xdr:nvSpPr>
            <xdr:cNvPr id="34" name="CuadroTexto 26">
              <a:extLst>
                <a:ext uri="{FF2B5EF4-FFF2-40B4-BE49-F238E27FC236}">
                  <a16:creationId xmlns:a16="http://schemas.microsoft.com/office/drawing/2014/main" id="{E02730EA-8666-43B4-8ABB-EE973C07453F}"/>
                </a:ext>
              </a:extLst>
            </xdr:cNvPr>
            <xdr:cNvSpPr txBox="1"/>
          </xdr:nvSpPr>
          <xdr:spPr>
            <a:xfrm>
              <a:off x="23882837" y="15833481"/>
              <a:ext cx="2552701" cy="389145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"ROA Operacional = </a:t>
              </a:r>
              <a:r>
                <a:rPr lang="es-CO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"EBIT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A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ctivos Totales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/>
            </a:p>
          </xdr:txBody>
        </xdr:sp>
      </mc:Fallback>
    </mc:AlternateContent>
    <xdr:clientData/>
  </xdr:twoCellAnchor>
  <xdr:twoCellAnchor>
    <xdr:from>
      <xdr:col>21</xdr:col>
      <xdr:colOff>750276</xdr:colOff>
      <xdr:row>79</xdr:row>
      <xdr:rowOff>65943</xdr:rowOff>
    </xdr:from>
    <xdr:to>
      <xdr:col>24</xdr:col>
      <xdr:colOff>93051</xdr:colOff>
      <xdr:row>85</xdr:row>
      <xdr:rowOff>34358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25">
              <a:extLst>
                <a:ext uri="{FF2B5EF4-FFF2-40B4-BE49-F238E27FC236}">
                  <a16:creationId xmlns:a16="http://schemas.microsoft.com/office/drawing/2014/main" id="{5353C567-3D7D-4836-95C6-E0AA6D8C581C}"/>
                </a:ext>
              </a:extLst>
            </xdr:cNvPr>
            <xdr:cNvSpPr txBox="1"/>
          </xdr:nvSpPr>
          <xdr:spPr>
            <a:xfrm>
              <a:off x="23939988" y="16976481"/>
              <a:ext cx="1628775" cy="39337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</m:t>
                    </m:r>
                    <m:f>
                      <m:fPr>
                        <m:ctrlPr>
                          <a:rPr lang="es-CO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000"/>
            </a:p>
          </xdr:txBody>
        </xdr:sp>
      </mc:Choice>
      <mc:Fallback xmlns="">
        <xdr:sp macro="" textlink="">
          <xdr:nvSpPr>
            <xdr:cNvPr id="35" name="CuadroTexto 25">
              <a:extLst>
                <a:ext uri="{FF2B5EF4-FFF2-40B4-BE49-F238E27FC236}">
                  <a16:creationId xmlns:a16="http://schemas.microsoft.com/office/drawing/2014/main" id="{5353C567-3D7D-4836-95C6-E0AA6D8C581C}"/>
                </a:ext>
              </a:extLst>
            </xdr:cNvPr>
            <xdr:cNvSpPr txBox="1"/>
          </xdr:nvSpPr>
          <xdr:spPr>
            <a:xfrm>
              <a:off x="23939988" y="16976481"/>
              <a:ext cx="1628775" cy="39337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"ROE =</a:t>
              </a:r>
              <a:r>
                <a:rPr lang="es-CO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rom. P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atrimonio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/>
            </a:p>
          </xdr:txBody>
        </xdr:sp>
      </mc:Fallback>
    </mc:AlternateContent>
    <xdr:clientData/>
  </xdr:twoCellAnchor>
  <xdr:twoCellAnchor>
    <xdr:from>
      <xdr:col>22</xdr:col>
      <xdr:colOff>36634</xdr:colOff>
      <xdr:row>82</xdr:row>
      <xdr:rowOff>74001</xdr:rowOff>
    </xdr:from>
    <xdr:to>
      <xdr:col>28</xdr:col>
      <xdr:colOff>589084</xdr:colOff>
      <xdr:row>83</xdr:row>
      <xdr:rowOff>162564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19">
              <a:extLst>
                <a:ext uri="{FF2B5EF4-FFF2-40B4-BE49-F238E27FC236}">
                  <a16:creationId xmlns:a16="http://schemas.microsoft.com/office/drawing/2014/main" id="{EC67A965-A70A-499E-B209-BE064E5F0028}"/>
                </a:ext>
              </a:extLst>
            </xdr:cNvPr>
            <xdr:cNvSpPr txBox="1"/>
          </xdr:nvSpPr>
          <xdr:spPr>
            <a:xfrm>
              <a:off x="23988346" y="17497424"/>
              <a:ext cx="5124450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0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den>
                    </m:f>
                    <m:r>
                      <m:rPr>
                        <m:nor/>
                      </m:rPr>
                      <a:rPr lang="es-MX" sz="10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  <m:r>
                      <m:rPr>
                        <m:nor/>
                      </m:rPr>
                      <a:rPr lang="es-MX" sz="1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6" name="CuadroTexto 19">
              <a:extLst>
                <a:ext uri="{FF2B5EF4-FFF2-40B4-BE49-F238E27FC236}">
                  <a16:creationId xmlns:a16="http://schemas.microsoft.com/office/drawing/2014/main" id="{EC67A965-A70A-499E-B209-BE064E5F0028}"/>
                </a:ext>
              </a:extLst>
            </xdr:cNvPr>
            <xdr:cNvSpPr txBox="1"/>
          </xdr:nvSpPr>
          <xdr:spPr>
            <a:xfrm>
              <a:off x="23988346" y="17497424"/>
              <a:ext cx="5124450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"ROE = " </a:t>
              </a:r>
              <a:r>
                <a:rPr lang="es-MX" sz="1000" b="0" i="0">
                  <a:solidFill>
                    <a:srgbClr val="14085C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000" b="0" i="0">
                  <a:solidFill>
                    <a:srgbClr val="14085C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000" b="0" i="0">
                  <a:latin typeface="Cambria Math" panose="02040503050406030204" pitchFamily="18" charset="0"/>
                </a:rPr>
                <a:t> 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 </a:t>
              </a:r>
              <a:r>
                <a:rPr lang="es-MX" sz="10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Activos Totales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 "</a:t>
              </a:r>
              <a:r>
                <a:rPr lang="es-MX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"Prom. Activos Totales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</a:t>
              </a:r>
              <a:r>
                <a:rPr lang="es-MX" sz="1000" b="0" i="0">
                  <a:solidFill>
                    <a:srgbClr val="14085C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</a:t>
              </a:r>
              <a:r>
                <a:rPr lang="es-MX" sz="1000" b="0" i="0">
                  <a:solidFill>
                    <a:srgbClr val="14085C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Patrimonio</a:t>
              </a:r>
              <a:r>
                <a:rPr lang="es-MX" sz="1000" b="0" i="0">
                  <a:solidFill>
                    <a:srgbClr val="14085C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Patrimonio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0</xdr:col>
      <xdr:colOff>2696307</xdr:colOff>
      <xdr:row>134</xdr:row>
      <xdr:rowOff>29309</xdr:rowOff>
    </xdr:from>
    <xdr:to>
      <xdr:col>5</xdr:col>
      <xdr:colOff>681404</xdr:colOff>
      <xdr:row>156</xdr:row>
      <xdr:rowOff>156797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B0C985FA-261B-4D3B-B4A6-F38A401C3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2681655</xdr:colOff>
      <xdr:row>111</xdr:row>
      <xdr:rowOff>102576</xdr:rowOff>
    </xdr:from>
    <xdr:to>
      <xdr:col>5</xdr:col>
      <xdr:colOff>593482</xdr:colOff>
      <xdr:row>134</xdr:row>
      <xdr:rowOff>39564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53C65351-5213-4CDE-AD11-02AC99173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2688982</xdr:colOff>
      <xdr:row>156</xdr:row>
      <xdr:rowOff>146538</xdr:rowOff>
    </xdr:from>
    <xdr:to>
      <xdr:col>4</xdr:col>
      <xdr:colOff>1084386</xdr:colOff>
      <xdr:row>171</xdr:row>
      <xdr:rowOff>32238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25361A0A-B090-4B9B-A4FB-2B98F5014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729029</xdr:colOff>
      <xdr:row>64</xdr:row>
      <xdr:rowOff>43963</xdr:rowOff>
    </xdr:from>
    <xdr:to>
      <xdr:col>11</xdr:col>
      <xdr:colOff>10990</xdr:colOff>
      <xdr:row>74</xdr:row>
      <xdr:rowOff>206621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980A7A21-BB45-47FC-83E6-56CC632120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729029</xdr:colOff>
      <xdr:row>75</xdr:row>
      <xdr:rowOff>35169</xdr:rowOff>
    </xdr:from>
    <xdr:to>
      <xdr:col>11</xdr:col>
      <xdr:colOff>10990</xdr:colOff>
      <xdr:row>88</xdr:row>
      <xdr:rowOff>16119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4D03FCE-1182-4748-91C6-B34A4075FB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608135</xdr:colOff>
      <xdr:row>88</xdr:row>
      <xdr:rowOff>86458</xdr:rowOff>
    </xdr:from>
    <xdr:to>
      <xdr:col>14</xdr:col>
      <xdr:colOff>197827</xdr:colOff>
      <xdr:row>101</xdr:row>
      <xdr:rowOff>177312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6AD0F33E-9C40-4DAB-8F64-A7D9028CA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14653</xdr:colOff>
      <xdr:row>102</xdr:row>
      <xdr:rowOff>35169</xdr:rowOff>
    </xdr:from>
    <xdr:to>
      <xdr:col>11</xdr:col>
      <xdr:colOff>29307</xdr:colOff>
      <xdr:row>118</xdr:row>
      <xdr:rowOff>183173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EE2D75B0-8632-44EF-9361-070EBCA07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743683</xdr:colOff>
      <xdr:row>87</xdr:row>
      <xdr:rowOff>64477</xdr:rowOff>
    </xdr:from>
    <xdr:to>
      <xdr:col>22</xdr:col>
      <xdr:colOff>124558</xdr:colOff>
      <xdr:row>102</xdr:row>
      <xdr:rowOff>161192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65C347D-E4E4-4520-925F-2124D11B6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758336</xdr:colOff>
      <xdr:row>103</xdr:row>
      <xdr:rowOff>49822</xdr:rowOff>
    </xdr:from>
    <xdr:to>
      <xdr:col>20</xdr:col>
      <xdr:colOff>879230</xdr:colOff>
      <xdr:row>118</xdr:row>
      <xdr:rowOff>80595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C8B90DE7-9670-453B-8D27-5E123E077A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25647</xdr:colOff>
      <xdr:row>118</xdr:row>
      <xdr:rowOff>137744</xdr:rowOff>
    </xdr:from>
    <xdr:to>
      <xdr:col>21</xdr:col>
      <xdr:colOff>395654</xdr:colOff>
      <xdr:row>137</xdr:row>
      <xdr:rowOff>65941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41D38A9-48A5-411D-970E-7EB2A6E1DE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762000</xdr:colOff>
      <xdr:row>120</xdr:row>
      <xdr:rowOff>0</xdr:rowOff>
    </xdr:from>
    <xdr:to>
      <xdr:col>11</xdr:col>
      <xdr:colOff>43961</xdr:colOff>
      <xdr:row>134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CFEC0710-4917-4E3C-9EED-907908A49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54953</xdr:colOff>
      <xdr:row>137</xdr:row>
      <xdr:rowOff>181708</xdr:rowOff>
    </xdr:from>
    <xdr:to>
      <xdr:col>20</xdr:col>
      <xdr:colOff>21981</xdr:colOff>
      <xdr:row>159</xdr:row>
      <xdr:rowOff>131885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A664701E-1A1C-4B5B-A318-74AAD6FB5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7FEF-FC69-4F01-A439-CD5A1EC34E45}">
  <dimension ref="A1:V109"/>
  <sheetViews>
    <sheetView tabSelected="1" zoomScaleNormal="100" workbookViewId="0"/>
  </sheetViews>
  <sheetFormatPr baseColWidth="10" defaultRowHeight="15" x14ac:dyDescent="0.25"/>
  <cols>
    <col min="1" max="1" width="40.5703125" customWidth="1"/>
    <col min="2" max="5" width="17.85546875" customWidth="1"/>
    <col min="10" max="10" width="17.140625" bestFit="1" customWidth="1"/>
    <col min="11" max="12" width="16.42578125" bestFit="1" customWidth="1"/>
    <col min="17" max="17" width="30.7109375" bestFit="1" customWidth="1"/>
    <col min="18" max="21" width="15.85546875" bestFit="1" customWidth="1"/>
  </cols>
  <sheetData>
    <row r="1" spans="1:22" ht="16.5" x14ac:dyDescent="0.25">
      <c r="A1" s="5" t="s">
        <v>12</v>
      </c>
    </row>
    <row r="2" spans="1:22" ht="16.5" x14ac:dyDescent="0.25">
      <c r="A2" s="5" t="s">
        <v>13</v>
      </c>
    </row>
    <row r="3" spans="1:22" ht="16.5" x14ac:dyDescent="0.25">
      <c r="A3" s="5" t="s">
        <v>32</v>
      </c>
      <c r="F3" s="34" t="s">
        <v>33</v>
      </c>
      <c r="G3" s="34"/>
      <c r="H3" s="34"/>
      <c r="I3" s="34"/>
      <c r="J3" s="34" t="s">
        <v>34</v>
      </c>
      <c r="K3" s="34"/>
      <c r="L3" s="34"/>
      <c r="M3" s="34" t="s">
        <v>35</v>
      </c>
      <c r="N3" s="34"/>
      <c r="O3" s="34"/>
    </row>
    <row r="4" spans="1:22" ht="16.5" x14ac:dyDescent="0.25">
      <c r="A4" s="1"/>
      <c r="B4" s="2">
        <v>2017</v>
      </c>
      <c r="C4" s="2">
        <v>2018</v>
      </c>
      <c r="D4" s="2">
        <v>2019</v>
      </c>
      <c r="E4" s="2">
        <v>2020</v>
      </c>
      <c r="F4" s="2">
        <v>2017</v>
      </c>
      <c r="G4" s="2">
        <v>2018</v>
      </c>
      <c r="H4" s="2">
        <v>2019</v>
      </c>
      <c r="I4" s="2">
        <v>2020</v>
      </c>
      <c r="J4" s="2">
        <v>2018</v>
      </c>
      <c r="K4" s="2">
        <v>2019</v>
      </c>
      <c r="L4" s="2">
        <v>2020</v>
      </c>
      <c r="M4" s="2">
        <v>2018</v>
      </c>
      <c r="N4" s="2">
        <v>2019</v>
      </c>
      <c r="O4" s="2">
        <v>2020</v>
      </c>
      <c r="Q4" s="11"/>
      <c r="R4" s="2">
        <v>2018</v>
      </c>
      <c r="S4" s="2">
        <v>2019</v>
      </c>
      <c r="T4" s="2">
        <v>2020</v>
      </c>
      <c r="U4" s="11"/>
      <c r="V4" s="11"/>
    </row>
    <row r="5" spans="1:22" ht="16.5" x14ac:dyDescent="0.25">
      <c r="A5" s="1" t="s">
        <v>107</v>
      </c>
      <c r="B5" s="3">
        <v>4077240</v>
      </c>
      <c r="C5" s="3">
        <v>10432423</v>
      </c>
      <c r="D5" s="3">
        <v>1867251</v>
      </c>
      <c r="E5" s="3">
        <v>5228070</v>
      </c>
      <c r="F5" s="7">
        <f t="shared" ref="F5:I8" si="0">+B5/B$22</f>
        <v>2.5111681586902773E-2</v>
      </c>
      <c r="G5" s="7">
        <f t="shared" si="0"/>
        <v>9.2608315845182754E-2</v>
      </c>
      <c r="H5" s="7">
        <f t="shared" si="0"/>
        <v>1.5361657568404711E-2</v>
      </c>
      <c r="I5" s="7">
        <f t="shared" si="0"/>
        <v>3.4281786452693482E-2</v>
      </c>
      <c r="J5" s="3">
        <f>+C5-B5</f>
        <v>6355183</v>
      </c>
      <c r="K5" s="3">
        <f t="shared" ref="K5:L5" si="1">+D5-C5</f>
        <v>-8565172</v>
      </c>
      <c r="L5" s="3">
        <f t="shared" si="1"/>
        <v>3360819</v>
      </c>
      <c r="M5" s="7">
        <f>+C5/B5-1</f>
        <v>1.5586973050396837</v>
      </c>
      <c r="N5" s="7">
        <f t="shared" ref="N5:O5" si="2">+D5/C5-1</f>
        <v>-0.82101463868940128</v>
      </c>
      <c r="O5" s="7">
        <f t="shared" si="2"/>
        <v>1.7998753247420942</v>
      </c>
      <c r="Q5" s="1" t="s">
        <v>38</v>
      </c>
      <c r="R5" s="12">
        <f>+AVERAGE(B22:C22)</f>
        <v>137507657.5</v>
      </c>
      <c r="S5" s="12">
        <f t="shared" ref="S5:T5" si="3">+AVERAGE(C22:D22)</f>
        <v>117101871</v>
      </c>
      <c r="T5" s="12">
        <f t="shared" si="3"/>
        <v>137027774.5</v>
      </c>
      <c r="U5" s="11"/>
      <c r="V5" s="11"/>
    </row>
    <row r="6" spans="1:22" ht="16.5" x14ac:dyDescent="0.25">
      <c r="A6" s="1" t="s">
        <v>108</v>
      </c>
      <c r="B6" s="3">
        <v>71372008</v>
      </c>
      <c r="C6" s="3">
        <v>13352224</v>
      </c>
      <c r="D6" s="3">
        <v>12657715</v>
      </c>
      <c r="E6" s="3">
        <v>13087708</v>
      </c>
      <c r="F6" s="7">
        <f t="shared" si="0"/>
        <v>0.43957950454569206</v>
      </c>
      <c r="G6" s="7">
        <f t="shared" si="0"/>
        <v>0.11852730448407138</v>
      </c>
      <c r="H6" s="7">
        <f t="shared" si="0"/>
        <v>0.10413355431511877</v>
      </c>
      <c r="I6" s="7">
        <f t="shared" si="0"/>
        <v>8.581943447796378E-2</v>
      </c>
      <c r="J6" s="3">
        <f t="shared" ref="J6:J42" si="4">+C6-B6</f>
        <v>-58019784</v>
      </c>
      <c r="K6" s="3">
        <f t="shared" ref="K6:K42" si="5">+D6-C6</f>
        <v>-694509</v>
      </c>
      <c r="L6" s="3">
        <f t="shared" ref="L6:L42" si="6">+E6-D6</f>
        <v>429993</v>
      </c>
      <c r="M6" s="7">
        <f t="shared" ref="M6:M43" si="7">+C6/B6-1</f>
        <v>-0.81292071816166356</v>
      </c>
      <c r="N6" s="7">
        <f t="shared" ref="N6:N43" si="8">+D6/C6-1</f>
        <v>-5.201448088348426E-2</v>
      </c>
      <c r="O6" s="7">
        <f t="shared" ref="O6:O43" si="9">+E6/D6-1</f>
        <v>3.397082332790724E-2</v>
      </c>
      <c r="Q6" s="13" t="s">
        <v>39</v>
      </c>
      <c r="R6" s="14">
        <f>+C47/R5</f>
        <v>0.86892471424727746</v>
      </c>
      <c r="S6" s="14">
        <f>+D47/S5</f>
        <v>1.1290591249391737</v>
      </c>
      <c r="T6" s="14">
        <f>+E47/T5</f>
        <v>0.67391115660278056</v>
      </c>
      <c r="U6" s="11"/>
      <c r="V6" s="11"/>
    </row>
    <row r="7" spans="1:22" ht="16.5" x14ac:dyDescent="0.25">
      <c r="A7" s="1" t="s">
        <v>15</v>
      </c>
      <c r="B7" s="3">
        <v>12247650</v>
      </c>
      <c r="C7" s="3">
        <v>11530224</v>
      </c>
      <c r="D7" s="3">
        <v>12823412</v>
      </c>
      <c r="E7" s="3">
        <v>15341644</v>
      </c>
      <c r="F7" s="7">
        <f t="shared" si="0"/>
        <v>7.5433157476094068E-2</v>
      </c>
      <c r="G7" s="7">
        <f t="shared" si="0"/>
        <v>0.10235346342433646</v>
      </c>
      <c r="H7" s="7">
        <f t="shared" si="0"/>
        <v>0.10549672433035076</v>
      </c>
      <c r="I7" s="7">
        <f t="shared" si="0"/>
        <v>0.10059906685282451</v>
      </c>
      <c r="J7" s="3">
        <f t="shared" si="4"/>
        <v>-717426</v>
      </c>
      <c r="K7" s="3">
        <f t="shared" si="5"/>
        <v>1293188</v>
      </c>
      <c r="L7" s="3">
        <f t="shared" si="6"/>
        <v>2518232</v>
      </c>
      <c r="M7" s="7">
        <f t="shared" si="7"/>
        <v>-5.8576624903552976E-2</v>
      </c>
      <c r="N7" s="7">
        <f t="shared" si="8"/>
        <v>0.11215636400472362</v>
      </c>
      <c r="O7" s="7">
        <f t="shared" si="9"/>
        <v>0.19637768793516108</v>
      </c>
      <c r="Q7" s="13" t="s">
        <v>40</v>
      </c>
      <c r="R7" s="14">
        <f>+AVERAGE(R6:T6)</f>
        <v>0.89063166526307713</v>
      </c>
      <c r="S7" s="11"/>
      <c r="T7" s="11"/>
      <c r="U7" s="11"/>
      <c r="V7" s="11"/>
    </row>
    <row r="8" spans="1:22" ht="16.5" x14ac:dyDescent="0.25">
      <c r="A8" s="1" t="s">
        <v>120</v>
      </c>
      <c r="B8" s="3">
        <v>601833</v>
      </c>
      <c r="C8" s="3">
        <v>843948</v>
      </c>
      <c r="D8" s="3">
        <v>1879878</v>
      </c>
      <c r="E8" s="3">
        <v>7052823</v>
      </c>
      <c r="F8" s="7">
        <f t="shared" si="0"/>
        <v>3.7066836056966128E-3</v>
      </c>
      <c r="G8" s="7">
        <f t="shared" si="0"/>
        <v>7.4917018741389504E-3</v>
      </c>
      <c r="H8" s="7">
        <f t="shared" si="0"/>
        <v>1.5465538433974602E-2</v>
      </c>
      <c r="I8" s="7">
        <f t="shared" si="0"/>
        <v>4.6247156594048086E-2</v>
      </c>
      <c r="J8" s="3">
        <f t="shared" si="4"/>
        <v>242115</v>
      </c>
      <c r="K8" s="3">
        <f t="shared" si="5"/>
        <v>1035930</v>
      </c>
      <c r="L8" s="3">
        <f t="shared" si="6"/>
        <v>5172945</v>
      </c>
      <c r="M8" s="7">
        <f t="shared" si="7"/>
        <v>0.40229598576349246</v>
      </c>
      <c r="N8" s="7">
        <f t="shared" si="8"/>
        <v>1.2274808400517569</v>
      </c>
      <c r="O8" s="7">
        <f t="shared" si="9"/>
        <v>2.7517450600517694</v>
      </c>
      <c r="Q8" s="11"/>
      <c r="R8" s="11"/>
      <c r="S8" s="11"/>
      <c r="T8" s="11"/>
      <c r="U8" s="11"/>
      <c r="V8" s="11"/>
    </row>
    <row r="9" spans="1:22" ht="16.5" x14ac:dyDescent="0.25">
      <c r="A9" s="1" t="s">
        <v>110</v>
      </c>
      <c r="B9" s="3">
        <v>92987</v>
      </c>
      <c r="C9" s="3"/>
      <c r="D9" s="3">
        <v>116946</v>
      </c>
      <c r="E9" s="3"/>
      <c r="F9" s="7">
        <f>+B9/B$22</f>
        <v>5.7270603048172985E-4</v>
      </c>
      <c r="G9" s="7"/>
      <c r="H9" s="7">
        <f>+D9/D$22</f>
        <v>9.6210118832157929E-4</v>
      </c>
      <c r="I9" s="7"/>
      <c r="J9" s="3">
        <f t="shared" si="4"/>
        <v>-92987</v>
      </c>
      <c r="K9" s="3">
        <f t="shared" si="5"/>
        <v>116946</v>
      </c>
      <c r="L9" s="3">
        <f t="shared" si="6"/>
        <v>-116946</v>
      </c>
      <c r="M9" s="7">
        <f t="shared" si="7"/>
        <v>-1</v>
      </c>
      <c r="N9" s="7"/>
      <c r="O9" s="7">
        <f t="shared" si="9"/>
        <v>-1</v>
      </c>
      <c r="R9" s="2">
        <v>2017</v>
      </c>
      <c r="S9" s="2">
        <v>2018</v>
      </c>
      <c r="T9" s="2">
        <v>2019</v>
      </c>
      <c r="U9" s="2">
        <v>2020</v>
      </c>
      <c r="V9" s="11"/>
    </row>
    <row r="10" spans="1:22" ht="16.5" x14ac:dyDescent="0.25">
      <c r="A10" s="1" t="s">
        <v>111</v>
      </c>
      <c r="B10" s="3"/>
      <c r="C10" s="3"/>
      <c r="D10" s="3"/>
      <c r="E10" s="3"/>
      <c r="F10" s="7"/>
      <c r="G10" s="7"/>
      <c r="H10" s="7"/>
      <c r="I10" s="7"/>
      <c r="J10" s="3"/>
      <c r="K10" s="3"/>
      <c r="L10" s="3"/>
      <c r="M10" s="7"/>
      <c r="N10" s="7"/>
      <c r="O10" s="7"/>
      <c r="Q10" s="1" t="s">
        <v>41</v>
      </c>
      <c r="R10" s="12">
        <f>+B13+B14</f>
        <v>73819307</v>
      </c>
      <c r="S10" s="12">
        <f t="shared" ref="S10:U10" si="10">+C13+C14</f>
        <v>76336446</v>
      </c>
      <c r="T10" s="12">
        <f t="shared" si="10"/>
        <v>91687839</v>
      </c>
      <c r="U10" s="12">
        <f t="shared" si="10"/>
        <v>111305177</v>
      </c>
      <c r="V10" s="11"/>
    </row>
    <row r="11" spans="1:22" ht="16.5" x14ac:dyDescent="0.25">
      <c r="A11" s="5" t="s">
        <v>16</v>
      </c>
      <c r="B11" s="4">
        <f>SUM(B5:B10)</f>
        <v>88391718</v>
      </c>
      <c r="C11" s="4">
        <f t="shared" ref="C11:E11" si="11">SUM(C5:C10)</f>
        <v>36158819</v>
      </c>
      <c r="D11" s="4">
        <f t="shared" si="11"/>
        <v>29345202</v>
      </c>
      <c r="E11" s="4">
        <f t="shared" si="11"/>
        <v>40710245</v>
      </c>
      <c r="F11" s="8">
        <f>+B11/B$22</f>
        <v>0.54440373324486724</v>
      </c>
      <c r="G11" s="8">
        <f>+C11/C$22</f>
        <v>0.32098078562772953</v>
      </c>
      <c r="H11" s="8">
        <f>+D11/D$22</f>
        <v>0.24141957583617044</v>
      </c>
      <c r="I11" s="8">
        <f>+E11/E$22</f>
        <v>0.26694744437752982</v>
      </c>
      <c r="J11" s="4">
        <f t="shared" si="4"/>
        <v>-52232899</v>
      </c>
      <c r="K11" s="4">
        <f t="shared" si="5"/>
        <v>-6813617</v>
      </c>
      <c r="L11" s="4">
        <f t="shared" si="6"/>
        <v>11365043</v>
      </c>
      <c r="M11" s="8">
        <f t="shared" si="7"/>
        <v>-0.59092526066752094</v>
      </c>
      <c r="N11" s="8">
        <f t="shared" si="8"/>
        <v>-0.18843582806175163</v>
      </c>
      <c r="O11" s="8">
        <f t="shared" si="9"/>
        <v>0.38728794574322567</v>
      </c>
      <c r="Q11" s="1" t="s">
        <v>42</v>
      </c>
      <c r="R11" s="11"/>
      <c r="S11" s="12">
        <f>+AVERAGE(R10:S10)</f>
        <v>75077876.5</v>
      </c>
      <c r="T11" s="12">
        <f>+AVERAGE(S10:T10)</f>
        <v>84012142.5</v>
      </c>
      <c r="U11" s="12">
        <f>+AVERAGE(T10:U10)</f>
        <v>101496508</v>
      </c>
      <c r="V11" s="11"/>
    </row>
    <row r="12" spans="1:22" ht="16.5" x14ac:dyDescent="0.25">
      <c r="A12" s="1" t="s">
        <v>17</v>
      </c>
      <c r="B12" s="3"/>
      <c r="C12" s="3"/>
      <c r="D12" s="3"/>
      <c r="E12" s="3"/>
      <c r="F12" s="7"/>
      <c r="G12" s="7"/>
      <c r="H12" s="7"/>
      <c r="I12" s="7"/>
      <c r="J12" s="3"/>
      <c r="K12" s="3"/>
      <c r="L12" s="3"/>
      <c r="M12" s="7"/>
      <c r="N12" s="7"/>
      <c r="O12" s="7"/>
      <c r="Q12" s="13" t="s">
        <v>43</v>
      </c>
      <c r="R12" s="11"/>
      <c r="S12" s="14">
        <f>+C47/S11</f>
        <v>1.5914648571606844</v>
      </c>
      <c r="T12" s="14">
        <f>+D47/T11</f>
        <v>1.5737598407277853</v>
      </c>
      <c r="U12" s="14">
        <f>+E47/U11</f>
        <v>0.90982978448874319</v>
      </c>
      <c r="V12" s="11"/>
    </row>
    <row r="13" spans="1:22" ht="16.5" x14ac:dyDescent="0.25">
      <c r="A13" s="1" t="s">
        <v>113</v>
      </c>
      <c r="B13" s="3">
        <v>73819307</v>
      </c>
      <c r="C13" s="3">
        <v>76336446</v>
      </c>
      <c r="D13" s="3">
        <v>91687839</v>
      </c>
      <c r="E13" s="3">
        <v>111305177</v>
      </c>
      <c r="F13" s="7">
        <f>+B13/B$22</f>
        <v>0.45465239533356461</v>
      </c>
      <c r="G13" s="7">
        <f>+C13/C$22</f>
        <v>0.67763641310045974</v>
      </c>
      <c r="H13" s="7">
        <f>+D13/D$22</f>
        <v>0.75430522511704245</v>
      </c>
      <c r="I13" s="7">
        <f>+E13/E$22</f>
        <v>0.72985639231939314</v>
      </c>
      <c r="J13" s="3">
        <f t="shared" si="4"/>
        <v>2517139</v>
      </c>
      <c r="K13" s="3">
        <f t="shared" si="5"/>
        <v>15351393</v>
      </c>
      <c r="L13" s="3">
        <f t="shared" si="6"/>
        <v>19617338</v>
      </c>
      <c r="M13" s="7">
        <f t="shared" si="7"/>
        <v>3.409865389280875E-2</v>
      </c>
      <c r="N13" s="7">
        <f t="shared" si="8"/>
        <v>0.20110175158010368</v>
      </c>
      <c r="O13" s="7">
        <f t="shared" si="9"/>
        <v>0.21395790558440364</v>
      </c>
      <c r="Q13" s="13" t="s">
        <v>44</v>
      </c>
      <c r="R13" s="14">
        <f>+AVERAGE(S12:U12)</f>
        <v>1.3583514941257377</v>
      </c>
      <c r="S13" s="14"/>
      <c r="T13" s="14"/>
      <c r="U13" s="14"/>
      <c r="V13" s="11"/>
    </row>
    <row r="14" spans="1:22" ht="16.5" x14ac:dyDescent="0.25">
      <c r="A14" s="1" t="s">
        <v>112</v>
      </c>
      <c r="B14" s="3"/>
      <c r="C14" s="3"/>
      <c r="D14" s="3"/>
      <c r="E14" s="3"/>
      <c r="F14" s="7"/>
      <c r="G14" s="7"/>
      <c r="H14" s="7"/>
      <c r="I14" s="7"/>
      <c r="J14" s="3"/>
      <c r="K14" s="3"/>
      <c r="L14" s="3"/>
      <c r="M14" s="7"/>
      <c r="N14" s="7"/>
      <c r="O14" s="7"/>
      <c r="Q14" s="13"/>
      <c r="R14" s="14"/>
      <c r="S14" s="14"/>
      <c r="T14" s="14"/>
      <c r="U14" s="14"/>
      <c r="V14" s="11"/>
    </row>
    <row r="15" spans="1:22" ht="16.5" x14ac:dyDescent="0.25">
      <c r="A15" s="1" t="s">
        <v>108</v>
      </c>
      <c r="B15" s="3">
        <v>153251</v>
      </c>
      <c r="C15" s="3">
        <v>155774</v>
      </c>
      <c r="D15" s="3">
        <v>519662</v>
      </c>
      <c r="E15" s="3">
        <v>487424</v>
      </c>
      <c r="F15" s="7">
        <f>+B15/B$22</f>
        <v>9.438714215681287E-4</v>
      </c>
      <c r="G15" s="7">
        <f>+C15/C$22</f>
        <v>1.3828012718107288E-3</v>
      </c>
      <c r="H15" s="7">
        <f>+D15/D$22</f>
        <v>4.275199046787137E-3</v>
      </c>
      <c r="I15" s="7">
        <f>+E15/E$22</f>
        <v>3.1961633030769799E-3</v>
      </c>
      <c r="J15" s="3">
        <f t="shared" si="4"/>
        <v>2523</v>
      </c>
      <c r="K15" s="3">
        <f t="shared" si="5"/>
        <v>363888</v>
      </c>
      <c r="L15" s="3">
        <f t="shared" si="6"/>
        <v>-32238</v>
      </c>
      <c r="M15" s="7">
        <f t="shared" si="7"/>
        <v>1.6463187842167493E-2</v>
      </c>
      <c r="N15" s="7">
        <f t="shared" si="8"/>
        <v>2.3359995891483818</v>
      </c>
      <c r="O15" s="7">
        <f t="shared" si="9"/>
        <v>-6.2036477556565606E-2</v>
      </c>
      <c r="Q15" s="11"/>
      <c r="R15" s="2">
        <v>2018</v>
      </c>
      <c r="S15" s="2">
        <v>2019</v>
      </c>
      <c r="T15" s="2">
        <v>2020</v>
      </c>
      <c r="U15" s="11"/>
      <c r="V15" s="11"/>
    </row>
    <row r="16" spans="1:22" ht="16.5" x14ac:dyDescent="0.25">
      <c r="A16" s="1" t="s">
        <v>18</v>
      </c>
      <c r="B16" s="3"/>
      <c r="C16" s="3"/>
      <c r="D16" s="3"/>
      <c r="E16" s="3"/>
      <c r="F16" s="7"/>
      <c r="G16" s="7"/>
      <c r="H16" s="7"/>
      <c r="I16" s="7"/>
      <c r="J16" s="3"/>
      <c r="K16" s="3"/>
      <c r="L16" s="3"/>
      <c r="M16" s="7"/>
      <c r="N16" s="7"/>
      <c r="O16" s="7"/>
      <c r="Q16" s="1" t="s">
        <v>45</v>
      </c>
      <c r="R16" s="12">
        <f>+AVERAGE(B7:C7)</f>
        <v>11888937</v>
      </c>
      <c r="S16" s="12">
        <f>+AVERAGE(C7:D7)</f>
        <v>12176818</v>
      </c>
      <c r="T16" s="12">
        <f>+AVERAGE(D7:E7)</f>
        <v>14082528</v>
      </c>
      <c r="U16" s="11"/>
      <c r="V16" s="11"/>
    </row>
    <row r="17" spans="1:22" ht="16.5" x14ac:dyDescent="0.25">
      <c r="A17" s="1" t="s">
        <v>19</v>
      </c>
      <c r="B17" s="3"/>
      <c r="C17" s="3"/>
      <c r="D17" s="3"/>
      <c r="E17" s="3"/>
      <c r="F17" s="7"/>
      <c r="G17" s="7"/>
      <c r="H17" s="7"/>
      <c r="I17" s="7"/>
      <c r="J17" s="3"/>
      <c r="K17" s="3"/>
      <c r="L17" s="3"/>
      <c r="M17" s="7"/>
      <c r="N17" s="7"/>
      <c r="O17" s="7"/>
      <c r="Q17" s="13" t="s">
        <v>46</v>
      </c>
      <c r="R17" s="14">
        <f>+C48/R16</f>
        <v>8.9225309209730028</v>
      </c>
      <c r="S17" s="14">
        <f>+D48/S16</f>
        <v>9.7552708761845661</v>
      </c>
      <c r="T17" s="14">
        <f>+E48/T16</f>
        <v>6.1861030917176238</v>
      </c>
      <c r="U17" s="13" t="s">
        <v>47</v>
      </c>
      <c r="V17" s="11"/>
    </row>
    <row r="18" spans="1:22" ht="16.5" x14ac:dyDescent="0.25">
      <c r="A18" s="1" t="s">
        <v>109</v>
      </c>
      <c r="B18" s="3"/>
      <c r="C18" s="3"/>
      <c r="D18" s="3"/>
      <c r="E18" s="3"/>
      <c r="F18" s="7"/>
      <c r="G18" s="7"/>
      <c r="H18" s="7"/>
      <c r="I18" s="7"/>
      <c r="J18" s="3"/>
      <c r="K18" s="3"/>
      <c r="L18" s="3"/>
      <c r="M18" s="7"/>
      <c r="N18" s="7"/>
      <c r="O18" s="7"/>
      <c r="Q18" s="13" t="s">
        <v>48</v>
      </c>
      <c r="R18" s="15">
        <f>365/R17</f>
        <v>40.907675549999297</v>
      </c>
      <c r="S18" s="15">
        <f t="shared" ref="S18:T18" si="12">365/S17</f>
        <v>37.415670423982839</v>
      </c>
      <c r="T18" s="15">
        <f t="shared" si="12"/>
        <v>59.00321973112392</v>
      </c>
      <c r="U18" s="13" t="s">
        <v>49</v>
      </c>
      <c r="V18" s="11"/>
    </row>
    <row r="19" spans="1:22" ht="16.5" x14ac:dyDescent="0.25">
      <c r="A19" s="1" t="s">
        <v>110</v>
      </c>
      <c r="B19" s="3"/>
      <c r="C19" s="3"/>
      <c r="D19" s="3"/>
      <c r="E19" s="3"/>
      <c r="F19" s="7"/>
      <c r="G19" s="7"/>
      <c r="H19" s="7"/>
      <c r="I19" s="7"/>
      <c r="J19" s="3"/>
      <c r="K19" s="3"/>
      <c r="L19" s="3"/>
      <c r="M19" s="7"/>
      <c r="N19" s="7"/>
      <c r="O19" s="7"/>
      <c r="Q19" s="13" t="s">
        <v>50</v>
      </c>
      <c r="R19" s="15">
        <f>+AVERAGE(R18:T18)</f>
        <v>45.775521901702014</v>
      </c>
      <c r="S19" s="16" t="s">
        <v>49</v>
      </c>
      <c r="T19" s="11"/>
      <c r="U19" s="11"/>
      <c r="V19" s="11"/>
    </row>
    <row r="20" spans="1:22" ht="16.5" x14ac:dyDescent="0.25">
      <c r="A20" s="1" t="s">
        <v>111</v>
      </c>
      <c r="B20" s="3"/>
      <c r="C20" s="3"/>
      <c r="D20" s="3"/>
      <c r="E20" s="3"/>
      <c r="F20" s="7"/>
      <c r="G20" s="7"/>
      <c r="H20" s="7"/>
      <c r="I20" s="7"/>
      <c r="J20" s="3"/>
      <c r="K20" s="3"/>
      <c r="L20" s="3"/>
      <c r="M20" s="7"/>
      <c r="N20" s="7"/>
      <c r="O20" s="7"/>
      <c r="Q20" s="11"/>
      <c r="R20" s="11"/>
      <c r="S20" s="11"/>
      <c r="T20" s="11"/>
      <c r="U20" s="11"/>
      <c r="V20" s="11"/>
    </row>
    <row r="21" spans="1:22" ht="16.5" x14ac:dyDescent="0.25">
      <c r="A21" s="5" t="s">
        <v>20</v>
      </c>
      <c r="B21" s="4">
        <f>SUM(B12:B20)</f>
        <v>73972558</v>
      </c>
      <c r="C21" s="4">
        <f>SUM(C12:C20)</f>
        <v>76492220</v>
      </c>
      <c r="D21" s="4">
        <f>SUM(D12:D20)</f>
        <v>92207501</v>
      </c>
      <c r="E21" s="4">
        <f>SUM(E12:E20)</f>
        <v>111792601</v>
      </c>
      <c r="F21" s="8">
        <f>+B21/B$22</f>
        <v>0.45559626675513276</v>
      </c>
      <c r="G21" s="8">
        <f t="shared" ref="G21:G43" si="13">+C21/C$22</f>
        <v>0.67901921437227042</v>
      </c>
      <c r="H21" s="8">
        <f t="shared" ref="H21:H43" si="14">+D21/D$22</f>
        <v>0.75858042416382954</v>
      </c>
      <c r="I21" s="8">
        <f t="shared" ref="I21:I43" si="15">+E21/E$22</f>
        <v>0.73305255562247018</v>
      </c>
      <c r="J21" s="4">
        <f t="shared" si="4"/>
        <v>2519662</v>
      </c>
      <c r="K21" s="4">
        <f t="shared" si="5"/>
        <v>15715281</v>
      </c>
      <c r="L21" s="4">
        <f t="shared" si="6"/>
        <v>19585100</v>
      </c>
      <c r="M21" s="8">
        <f t="shared" si="7"/>
        <v>3.4062118008681086E-2</v>
      </c>
      <c r="N21" s="8">
        <f t="shared" si="8"/>
        <v>0.20544940387401489</v>
      </c>
      <c r="O21" s="8">
        <f t="shared" si="9"/>
        <v>0.21240245953526049</v>
      </c>
      <c r="Q21" s="11"/>
      <c r="R21" s="2">
        <v>2018</v>
      </c>
      <c r="S21" s="2">
        <v>2019</v>
      </c>
      <c r="T21" s="2">
        <v>2020</v>
      </c>
      <c r="U21" s="11"/>
      <c r="V21" s="11"/>
    </row>
    <row r="22" spans="1:22" ht="16.5" x14ac:dyDescent="0.25">
      <c r="A22" s="5" t="s">
        <v>21</v>
      </c>
      <c r="B22" s="4">
        <f>+B11+B21</f>
        <v>162364276</v>
      </c>
      <c r="C22" s="4">
        <f>+C11+C21</f>
        <v>112651039</v>
      </c>
      <c r="D22" s="4">
        <f>+D11+D21</f>
        <v>121552703</v>
      </c>
      <c r="E22" s="4">
        <f>+E11+E21</f>
        <v>152502846</v>
      </c>
      <c r="F22" s="8">
        <f>+B22/B$22</f>
        <v>1</v>
      </c>
      <c r="G22" s="8">
        <f t="shared" si="13"/>
        <v>1</v>
      </c>
      <c r="H22" s="8">
        <f t="shared" si="14"/>
        <v>1</v>
      </c>
      <c r="I22" s="8">
        <f t="shared" si="15"/>
        <v>1</v>
      </c>
      <c r="J22" s="4">
        <f t="shared" si="4"/>
        <v>-49713237</v>
      </c>
      <c r="K22" s="4">
        <f t="shared" si="5"/>
        <v>8901664</v>
      </c>
      <c r="L22" s="4">
        <f t="shared" si="6"/>
        <v>30950143</v>
      </c>
      <c r="M22" s="8">
        <f t="shared" si="7"/>
        <v>-0.30618334417356685</v>
      </c>
      <c r="N22" s="8">
        <f t="shared" si="8"/>
        <v>7.9019812680112045E-2</v>
      </c>
      <c r="O22" s="8">
        <f t="shared" si="9"/>
        <v>0.25462323943548992</v>
      </c>
      <c r="Q22" s="1" t="s">
        <v>51</v>
      </c>
      <c r="R22" s="12">
        <f>+AVERAGE(B6:C6)</f>
        <v>42362116</v>
      </c>
      <c r="S22" s="12">
        <f>+AVERAGE(C6:D6)</f>
        <v>13004969.5</v>
      </c>
      <c r="T22" s="12">
        <f>+AVERAGE(D6:E6)</f>
        <v>12872711.5</v>
      </c>
      <c r="U22" s="11"/>
      <c r="V22" s="11"/>
    </row>
    <row r="23" spans="1:22" ht="16.5" x14ac:dyDescent="0.25">
      <c r="A23" s="1" t="s">
        <v>114</v>
      </c>
      <c r="B23" s="3">
        <v>756544</v>
      </c>
      <c r="C23" s="3">
        <v>907520</v>
      </c>
      <c r="D23" s="3">
        <v>845968</v>
      </c>
      <c r="E23" s="3">
        <v>878089</v>
      </c>
      <c r="F23" s="7">
        <f>+B23/B$22</f>
        <v>4.6595471530941944E-3</v>
      </c>
      <c r="G23" s="7">
        <f t="shared" si="13"/>
        <v>8.0560286709827865E-3</v>
      </c>
      <c r="H23" s="7">
        <f t="shared" si="14"/>
        <v>6.959680690934532E-3</v>
      </c>
      <c r="I23" s="7">
        <f t="shared" si="15"/>
        <v>5.7578532009822294E-3</v>
      </c>
      <c r="J23" s="3">
        <f t="shared" si="4"/>
        <v>150976</v>
      </c>
      <c r="K23" s="3">
        <f t="shared" si="5"/>
        <v>-61552</v>
      </c>
      <c r="L23" s="3">
        <f t="shared" si="6"/>
        <v>32121</v>
      </c>
      <c r="M23" s="7">
        <f t="shared" si="7"/>
        <v>0.19956010489806286</v>
      </c>
      <c r="N23" s="7">
        <f t="shared" si="8"/>
        <v>-6.7824400564174936E-2</v>
      </c>
      <c r="O23" s="7">
        <f t="shared" si="9"/>
        <v>3.7969521305770471E-2</v>
      </c>
      <c r="Q23" s="13" t="s">
        <v>52</v>
      </c>
      <c r="R23" s="15">
        <f>+C47/R22</f>
        <v>2.8205343189183467</v>
      </c>
      <c r="S23" s="15">
        <f>+D47/S22</f>
        <v>10.166493354713365</v>
      </c>
      <c r="T23" s="15">
        <f>+E47/T22</f>
        <v>7.1736670242318414</v>
      </c>
      <c r="U23" s="16" t="s">
        <v>47</v>
      </c>
      <c r="V23" s="11"/>
    </row>
    <row r="24" spans="1:22" ht="16.5" x14ac:dyDescent="0.25">
      <c r="A24" s="1" t="s">
        <v>115</v>
      </c>
      <c r="B24" s="3"/>
      <c r="C24" s="3"/>
      <c r="D24" s="3"/>
      <c r="E24" s="3"/>
      <c r="F24" s="7"/>
      <c r="G24" s="7"/>
      <c r="H24" s="7"/>
      <c r="I24" s="7"/>
      <c r="J24" s="3"/>
      <c r="K24" s="3"/>
      <c r="L24" s="3"/>
      <c r="M24" s="7"/>
      <c r="N24" s="7"/>
      <c r="O24" s="7"/>
      <c r="Q24" s="13" t="s">
        <v>53</v>
      </c>
      <c r="R24" s="15">
        <f>365/R23</f>
        <v>129.40810453955928</v>
      </c>
      <c r="S24" s="15">
        <f t="shared" ref="S24" si="16">365/S23</f>
        <v>35.902251372719341</v>
      </c>
      <c r="T24" s="15">
        <f t="shared" ref="T24" si="17">365/T23</f>
        <v>50.880532755015111</v>
      </c>
      <c r="U24" s="16" t="s">
        <v>49</v>
      </c>
      <c r="V24" s="11"/>
    </row>
    <row r="25" spans="1:22" ht="16.5" x14ac:dyDescent="0.25">
      <c r="A25" s="1" t="s">
        <v>116</v>
      </c>
      <c r="B25" s="3">
        <v>61354229</v>
      </c>
      <c r="C25" s="3">
        <v>24819132</v>
      </c>
      <c r="D25" s="3">
        <v>30161506</v>
      </c>
      <c r="E25" s="3">
        <v>59262789</v>
      </c>
      <c r="F25" s="7">
        <f>+B25/B$22</f>
        <v>0.37788010091579505</v>
      </c>
      <c r="G25" s="7">
        <f t="shared" si="13"/>
        <v>0.22031871361612562</v>
      </c>
      <c r="H25" s="7">
        <f t="shared" si="14"/>
        <v>0.24813521423707049</v>
      </c>
      <c r="I25" s="7">
        <f t="shared" si="15"/>
        <v>0.38860120026874778</v>
      </c>
      <c r="J25" s="3">
        <f t="shared" si="4"/>
        <v>-36535097</v>
      </c>
      <c r="K25" s="3">
        <f t="shared" si="5"/>
        <v>5342374</v>
      </c>
      <c r="L25" s="3">
        <f t="shared" si="6"/>
        <v>29101283</v>
      </c>
      <c r="M25" s="7">
        <f t="shared" si="7"/>
        <v>-0.59547805579954405</v>
      </c>
      <c r="N25" s="7">
        <f t="shared" si="8"/>
        <v>0.21525224975635737</v>
      </c>
      <c r="O25" s="7">
        <f t="shared" si="9"/>
        <v>0.96484847275199059</v>
      </c>
      <c r="Q25" s="13" t="s">
        <v>54</v>
      </c>
      <c r="R25" s="15">
        <f>+AVERAGE(R24:T24)</f>
        <v>72.063629555764578</v>
      </c>
      <c r="S25" s="16" t="s">
        <v>49</v>
      </c>
      <c r="T25" s="11"/>
      <c r="U25" s="11"/>
      <c r="V25" s="11"/>
    </row>
    <row r="26" spans="1:22" ht="16.5" x14ac:dyDescent="0.25">
      <c r="A26" s="1" t="s">
        <v>119</v>
      </c>
      <c r="B26" s="3">
        <v>1699408</v>
      </c>
      <c r="C26" s="3">
        <v>608352</v>
      </c>
      <c r="D26" s="3">
        <v>371104</v>
      </c>
      <c r="E26" s="3">
        <v>440097</v>
      </c>
      <c r="F26" s="7">
        <f>+B26/B$22</f>
        <v>1.0466637377793622E-2</v>
      </c>
      <c r="G26" s="7">
        <f t="shared" si="13"/>
        <v>5.4003230276464653E-3</v>
      </c>
      <c r="H26" s="7">
        <f t="shared" si="14"/>
        <v>3.0530295981982401E-3</v>
      </c>
      <c r="I26" s="7">
        <f t="shared" si="15"/>
        <v>2.8858281110373508E-3</v>
      </c>
      <c r="J26" s="3">
        <f t="shared" si="4"/>
        <v>-1091056</v>
      </c>
      <c r="K26" s="3">
        <f t="shared" si="5"/>
        <v>-237248</v>
      </c>
      <c r="L26" s="3">
        <f t="shared" si="6"/>
        <v>68993</v>
      </c>
      <c r="M26" s="7">
        <f t="shared" si="7"/>
        <v>-0.642021221507725</v>
      </c>
      <c r="N26" s="7">
        <f t="shared" si="8"/>
        <v>-0.38998474567355745</v>
      </c>
      <c r="O26" s="7">
        <f t="shared" si="9"/>
        <v>0.18591284383892392</v>
      </c>
      <c r="Q26" s="11"/>
      <c r="R26" s="11"/>
      <c r="S26" s="11"/>
      <c r="T26" s="11"/>
      <c r="U26" s="11"/>
      <c r="V26" s="11"/>
    </row>
    <row r="27" spans="1:22" ht="16.5" x14ac:dyDescent="0.25">
      <c r="A27" s="1" t="s">
        <v>117</v>
      </c>
      <c r="B27" s="3"/>
      <c r="C27" s="3"/>
      <c r="D27" s="3">
        <v>307099</v>
      </c>
      <c r="E27" s="3">
        <v>682620</v>
      </c>
      <c r="F27" s="7"/>
      <c r="G27" s="7"/>
      <c r="H27" s="7">
        <f t="shared" si="14"/>
        <v>2.5264678811790799E-3</v>
      </c>
      <c r="I27" s="7">
        <f t="shared" si="15"/>
        <v>4.476113186766364E-3</v>
      </c>
      <c r="J27" s="3"/>
      <c r="K27" s="3">
        <f t="shared" si="5"/>
        <v>307099</v>
      </c>
      <c r="L27" s="3">
        <f t="shared" si="6"/>
        <v>375521</v>
      </c>
      <c r="M27" s="7"/>
      <c r="N27" s="7"/>
      <c r="O27" s="7">
        <f t="shared" si="9"/>
        <v>1.2228011162524135</v>
      </c>
      <c r="R27" s="2">
        <v>2017</v>
      </c>
      <c r="S27" s="2">
        <v>2018</v>
      </c>
      <c r="T27" s="2">
        <v>2019</v>
      </c>
      <c r="U27" s="2">
        <v>2020</v>
      </c>
      <c r="V27" s="11"/>
    </row>
    <row r="28" spans="1:22" ht="16.5" x14ac:dyDescent="0.25">
      <c r="A28" s="1" t="s">
        <v>118</v>
      </c>
      <c r="B28" s="3"/>
      <c r="C28" s="3"/>
      <c r="D28" s="3"/>
      <c r="E28" s="3"/>
      <c r="F28" s="7"/>
      <c r="G28" s="7"/>
      <c r="H28" s="7"/>
      <c r="I28" s="7"/>
      <c r="J28" s="3"/>
      <c r="K28" s="3"/>
      <c r="L28" s="3"/>
      <c r="M28" s="7"/>
      <c r="N28" s="7"/>
      <c r="O28" s="7"/>
      <c r="Q28" s="1" t="s">
        <v>55</v>
      </c>
      <c r="R28" s="12">
        <f>+B7</f>
        <v>12247650</v>
      </c>
      <c r="S28" s="12">
        <f>+C7</f>
        <v>11530224</v>
      </c>
      <c r="T28" s="12">
        <f>+D7</f>
        <v>12823412</v>
      </c>
      <c r="U28" s="12">
        <f>+E7</f>
        <v>15341644</v>
      </c>
      <c r="V28" s="11"/>
    </row>
    <row r="29" spans="1:22" ht="16.5" x14ac:dyDescent="0.25">
      <c r="A29" s="5" t="s">
        <v>22</v>
      </c>
      <c r="B29" s="4">
        <f>SUM(B23:B28)</f>
        <v>63810181</v>
      </c>
      <c r="C29" s="4">
        <f t="shared" ref="C29:E29" si="18">SUM(C23:C28)</f>
        <v>26335004</v>
      </c>
      <c r="D29" s="4">
        <f t="shared" si="18"/>
        <v>31685677</v>
      </c>
      <c r="E29" s="4">
        <f t="shared" si="18"/>
        <v>61263595</v>
      </c>
      <c r="F29" s="8">
        <f>+B29/B$22</f>
        <v>0.39300628544668287</v>
      </c>
      <c r="G29" s="8">
        <f t="shared" si="13"/>
        <v>0.23377506531475489</v>
      </c>
      <c r="H29" s="8">
        <f t="shared" si="14"/>
        <v>0.26067439240738233</v>
      </c>
      <c r="I29" s="8">
        <f t="shared" si="15"/>
        <v>0.4017209947675337</v>
      </c>
      <c r="J29" s="4">
        <f t="shared" si="4"/>
        <v>-37475177</v>
      </c>
      <c r="K29" s="4">
        <f t="shared" si="5"/>
        <v>5350673</v>
      </c>
      <c r="L29" s="4">
        <f t="shared" si="6"/>
        <v>29577918</v>
      </c>
      <c r="M29" s="8">
        <f t="shared" si="7"/>
        <v>-0.58729150133581354</v>
      </c>
      <c r="N29" s="8">
        <f t="shared" si="8"/>
        <v>0.20317722374372904</v>
      </c>
      <c r="O29" s="8">
        <f t="shared" si="9"/>
        <v>0.93347912370627273</v>
      </c>
      <c r="Q29" s="1" t="s">
        <v>56</v>
      </c>
      <c r="R29" s="11"/>
      <c r="S29" s="12">
        <f>+C48+S28-R28</f>
        <v>105361982</v>
      </c>
      <c r="T29" s="12">
        <f>+D48+T28-S28</f>
        <v>120081346</v>
      </c>
      <c r="U29" s="12">
        <f>+E48+U28-T28</f>
        <v>89634202</v>
      </c>
      <c r="V29" s="11"/>
    </row>
    <row r="30" spans="1:22" ht="16.5" x14ac:dyDescent="0.25">
      <c r="A30" s="1" t="s">
        <v>114</v>
      </c>
      <c r="B30" s="3"/>
      <c r="C30" s="3"/>
      <c r="D30" s="3"/>
      <c r="E30" s="3"/>
      <c r="F30" s="7"/>
      <c r="G30" s="7"/>
      <c r="H30" s="7"/>
      <c r="I30" s="7"/>
      <c r="J30" s="3"/>
      <c r="K30" s="3"/>
      <c r="L30" s="3"/>
      <c r="M30" s="7"/>
      <c r="N30" s="7"/>
      <c r="O30" s="7"/>
      <c r="Q30" s="1" t="s">
        <v>57</v>
      </c>
      <c r="R30" s="11"/>
      <c r="S30" s="12">
        <f>+AVERAGE(B25:C25)</f>
        <v>43086680.5</v>
      </c>
      <c r="T30" s="12">
        <f>+AVERAGE(C25:D25)</f>
        <v>27490319</v>
      </c>
      <c r="U30" s="12">
        <f>+AVERAGE(D25:E25)</f>
        <v>44712147.5</v>
      </c>
      <c r="V30" s="11"/>
    </row>
    <row r="31" spans="1:22" ht="16.5" x14ac:dyDescent="0.25">
      <c r="A31" s="1" t="s">
        <v>115</v>
      </c>
      <c r="B31" s="3"/>
      <c r="C31" s="3"/>
      <c r="D31" s="3"/>
      <c r="E31" s="3"/>
      <c r="F31" s="7"/>
      <c r="G31" s="7"/>
      <c r="H31" s="7"/>
      <c r="I31" s="7"/>
      <c r="J31" s="3"/>
      <c r="K31" s="3"/>
      <c r="L31" s="3"/>
      <c r="M31" s="7"/>
      <c r="N31" s="7"/>
      <c r="O31" s="7"/>
      <c r="Q31" s="13" t="s">
        <v>58</v>
      </c>
      <c r="R31" s="14"/>
      <c r="S31" s="15">
        <f>+S29/S30</f>
        <v>2.4453492535819743</v>
      </c>
      <c r="T31" s="15">
        <f t="shared" ref="T31:U31" si="19">+T29/T30</f>
        <v>4.3681321413549261</v>
      </c>
      <c r="U31" s="15">
        <f t="shared" si="19"/>
        <v>2.0046946302456172</v>
      </c>
      <c r="V31" s="16" t="s">
        <v>47</v>
      </c>
    </row>
    <row r="32" spans="1:22" ht="16.5" x14ac:dyDescent="0.25">
      <c r="A32" s="1" t="s">
        <v>116</v>
      </c>
      <c r="B32" s="3"/>
      <c r="C32" s="3"/>
      <c r="D32" s="3"/>
      <c r="E32" s="3"/>
      <c r="F32" s="7"/>
      <c r="G32" s="7"/>
      <c r="H32" s="7"/>
      <c r="I32" s="7"/>
      <c r="J32" s="3"/>
      <c r="K32" s="3"/>
      <c r="L32" s="3"/>
      <c r="M32" s="7"/>
      <c r="N32" s="7"/>
      <c r="O32" s="7"/>
      <c r="Q32" s="13" t="s">
        <v>59</v>
      </c>
      <c r="R32" s="14"/>
      <c r="S32" s="15">
        <f>365/S31</f>
        <v>149.26293226431522</v>
      </c>
      <c r="T32" s="15">
        <f t="shared" ref="T32:U32" si="20">365/T31</f>
        <v>83.559743201079698</v>
      </c>
      <c r="U32" s="15">
        <f t="shared" si="20"/>
        <v>182.07261818987354</v>
      </c>
      <c r="V32" s="16" t="s">
        <v>49</v>
      </c>
    </row>
    <row r="33" spans="1:22" ht="16.5" x14ac:dyDescent="0.25">
      <c r="A33" s="1" t="s">
        <v>23</v>
      </c>
      <c r="B33" s="3">
        <v>8015820</v>
      </c>
      <c r="C33" s="3">
        <v>7933705</v>
      </c>
      <c r="D33" s="3">
        <v>10756863</v>
      </c>
      <c r="E33" s="3">
        <v>11163263</v>
      </c>
      <c r="F33" s="7">
        <f>+B33/B$22</f>
        <v>4.93693575796193E-2</v>
      </c>
      <c r="G33" s="7">
        <f t="shared" si="13"/>
        <v>7.0427268762252609E-2</v>
      </c>
      <c r="H33" s="7">
        <f t="shared" si="14"/>
        <v>8.849546521396566E-2</v>
      </c>
      <c r="I33" s="7">
        <f t="shared" si="15"/>
        <v>7.3200358503473437E-2</v>
      </c>
      <c r="J33" s="3">
        <f t="shared" si="4"/>
        <v>-82115</v>
      </c>
      <c r="K33" s="3">
        <f t="shared" si="5"/>
        <v>2823158</v>
      </c>
      <c r="L33" s="3">
        <f t="shared" si="6"/>
        <v>406400</v>
      </c>
      <c r="M33" s="7">
        <f t="shared" si="7"/>
        <v>-1.0244117258122021E-2</v>
      </c>
      <c r="N33" s="7">
        <f t="shared" si="8"/>
        <v>0.35584358127759974</v>
      </c>
      <c r="O33" s="7">
        <f t="shared" si="9"/>
        <v>3.7780531368671433E-2</v>
      </c>
      <c r="Q33" s="13" t="s">
        <v>60</v>
      </c>
      <c r="R33" s="15">
        <f>+AVERAGE(S32:U32)</f>
        <v>138.29843121842282</v>
      </c>
      <c r="S33" s="16" t="s">
        <v>49</v>
      </c>
      <c r="T33" s="11"/>
      <c r="U33" s="11"/>
      <c r="V33" s="11"/>
    </row>
    <row r="34" spans="1:22" ht="16.5" x14ac:dyDescent="0.25">
      <c r="A34" s="1" t="s">
        <v>117</v>
      </c>
      <c r="B34" s="3"/>
      <c r="C34" s="3"/>
      <c r="D34" s="3">
        <v>70929</v>
      </c>
      <c r="E34" s="3">
        <v>244545</v>
      </c>
      <c r="F34" s="7"/>
      <c r="G34" s="7"/>
      <c r="H34" s="7">
        <f t="shared" si="14"/>
        <v>5.8352466254905087E-4</v>
      </c>
      <c r="I34" s="7">
        <f t="shared" si="15"/>
        <v>1.6035438446833968E-3</v>
      </c>
      <c r="J34" s="3"/>
      <c r="K34" s="3">
        <f t="shared" si="5"/>
        <v>70929</v>
      </c>
      <c r="L34" s="3">
        <f t="shared" si="6"/>
        <v>173616</v>
      </c>
      <c r="M34" s="7"/>
      <c r="N34" s="7"/>
      <c r="O34" s="7">
        <f t="shared" si="9"/>
        <v>2.4477435181660532</v>
      </c>
      <c r="Q34" s="11"/>
      <c r="S34" s="2">
        <v>2018</v>
      </c>
      <c r="T34" s="2">
        <v>2019</v>
      </c>
      <c r="U34" s="2">
        <v>2020</v>
      </c>
      <c r="V34" s="11"/>
    </row>
    <row r="35" spans="1:22" ht="16.5" x14ac:dyDescent="0.25">
      <c r="A35" s="1" t="s">
        <v>118</v>
      </c>
      <c r="B35" s="3"/>
      <c r="C35" s="3"/>
      <c r="D35" s="3"/>
      <c r="E35" s="3"/>
      <c r="F35" s="7"/>
      <c r="G35" s="7"/>
      <c r="H35" s="7"/>
      <c r="I35" s="7"/>
      <c r="J35" s="3"/>
      <c r="K35" s="3"/>
      <c r="L35" s="3"/>
      <c r="M35" s="7"/>
      <c r="N35" s="7"/>
      <c r="O35" s="7"/>
      <c r="Q35" s="13" t="s">
        <v>134</v>
      </c>
      <c r="S35" s="15">
        <f>+R18+R24-S32</f>
        <v>21.052847825243362</v>
      </c>
      <c r="T35" s="15">
        <f>+S18+S24-T32</f>
        <v>-10.241821404377518</v>
      </c>
      <c r="U35" s="15">
        <f>+T18+T24-U32</f>
        <v>-72.188865703734507</v>
      </c>
      <c r="V35" s="16" t="s">
        <v>49</v>
      </c>
    </row>
    <row r="36" spans="1:22" ht="16.5" x14ac:dyDescent="0.25">
      <c r="A36" s="5" t="s">
        <v>24</v>
      </c>
      <c r="B36" s="4">
        <f>SUM(B30:B35)</f>
        <v>8015820</v>
      </c>
      <c r="C36" s="4">
        <f>SUM(C30:C35)</f>
        <v>7933705</v>
      </c>
      <c r="D36" s="4">
        <f>SUM(D30:D35)</f>
        <v>10827792</v>
      </c>
      <c r="E36" s="4">
        <f>SUM(E30:E35)</f>
        <v>11407808</v>
      </c>
      <c r="F36" s="8">
        <f t="shared" ref="F36:F43" si="21">+B36/B$22</f>
        <v>4.93693575796193E-2</v>
      </c>
      <c r="G36" s="8">
        <f t="shared" si="13"/>
        <v>7.0427268762252609E-2</v>
      </c>
      <c r="H36" s="8">
        <f t="shared" si="14"/>
        <v>8.9078989876514719E-2</v>
      </c>
      <c r="I36" s="8">
        <f t="shared" si="15"/>
        <v>7.4803902348156828E-2</v>
      </c>
      <c r="J36" s="4">
        <f t="shared" si="4"/>
        <v>-82115</v>
      </c>
      <c r="K36" s="4">
        <f t="shared" si="5"/>
        <v>2894087</v>
      </c>
      <c r="L36" s="4">
        <f t="shared" si="6"/>
        <v>580016</v>
      </c>
      <c r="M36" s="8">
        <f t="shared" si="7"/>
        <v>-1.0244117258122021E-2</v>
      </c>
      <c r="N36" s="8">
        <f t="shared" si="8"/>
        <v>0.36478379269206496</v>
      </c>
      <c r="O36" s="8">
        <f t="shared" si="9"/>
        <v>5.3567338567272138E-2</v>
      </c>
      <c r="Q36" s="11"/>
      <c r="R36" s="11"/>
      <c r="S36" s="11"/>
      <c r="T36" s="11"/>
      <c r="U36" s="11"/>
      <c r="V36" s="11"/>
    </row>
    <row r="37" spans="1:22" ht="16.5" x14ac:dyDescent="0.25">
      <c r="A37" s="5" t="s">
        <v>25</v>
      </c>
      <c r="B37" s="4">
        <f>+B29+B36</f>
        <v>71826001</v>
      </c>
      <c r="C37" s="4">
        <f>+C29+C36</f>
        <v>34268709</v>
      </c>
      <c r="D37" s="4">
        <f>+D29+D36</f>
        <v>42513469</v>
      </c>
      <c r="E37" s="4">
        <f>+E29+E36</f>
        <v>72671403</v>
      </c>
      <c r="F37" s="8">
        <f t="shared" si="21"/>
        <v>0.44237564302630217</v>
      </c>
      <c r="G37" s="8">
        <f t="shared" si="13"/>
        <v>0.30420233407700747</v>
      </c>
      <c r="H37" s="8">
        <f t="shared" si="14"/>
        <v>0.34975338228389707</v>
      </c>
      <c r="I37" s="8">
        <f t="shared" si="15"/>
        <v>0.47652489711569057</v>
      </c>
      <c r="J37" s="4">
        <f t="shared" si="4"/>
        <v>-37557292</v>
      </c>
      <c r="K37" s="4">
        <f t="shared" si="5"/>
        <v>8244760</v>
      </c>
      <c r="L37" s="4">
        <f t="shared" si="6"/>
        <v>30157934</v>
      </c>
      <c r="M37" s="8">
        <f t="shared" si="7"/>
        <v>-0.52289270566518109</v>
      </c>
      <c r="N37" s="8">
        <f t="shared" si="8"/>
        <v>0.24059149704180571</v>
      </c>
      <c r="O37" s="8">
        <f t="shared" si="9"/>
        <v>0.70937363403583942</v>
      </c>
      <c r="R37" s="2">
        <v>2017</v>
      </c>
      <c r="S37" s="2">
        <v>2018</v>
      </c>
      <c r="T37" s="2">
        <v>2019</v>
      </c>
      <c r="U37" s="2">
        <v>2020</v>
      </c>
      <c r="V37" s="11"/>
    </row>
    <row r="38" spans="1:22" ht="16.5" x14ac:dyDescent="0.25">
      <c r="A38" s="1" t="s">
        <v>26</v>
      </c>
      <c r="B38" s="3">
        <v>1502200</v>
      </c>
      <c r="C38" s="3">
        <v>1502200</v>
      </c>
      <c r="D38" s="3">
        <v>1502200</v>
      </c>
      <c r="E38" s="3">
        <v>1502200</v>
      </c>
      <c r="F38" s="7">
        <f t="shared" si="21"/>
        <v>9.2520352198657303E-3</v>
      </c>
      <c r="G38" s="7">
        <f t="shared" si="13"/>
        <v>1.3334985751884632E-2</v>
      </c>
      <c r="H38" s="7">
        <f t="shared" si="14"/>
        <v>1.2358425299682558E-2</v>
      </c>
      <c r="I38" s="7">
        <f t="shared" si="15"/>
        <v>9.850307973924631E-3</v>
      </c>
      <c r="J38" s="3">
        <f t="shared" si="4"/>
        <v>0</v>
      </c>
      <c r="K38" s="3">
        <f t="shared" si="5"/>
        <v>0</v>
      </c>
      <c r="L38" s="3">
        <f t="shared" si="6"/>
        <v>0</v>
      </c>
      <c r="M38" s="7">
        <f t="shared" si="7"/>
        <v>0</v>
      </c>
      <c r="N38" s="7">
        <f t="shared" si="8"/>
        <v>0</v>
      </c>
      <c r="O38" s="7">
        <f t="shared" si="9"/>
        <v>0</v>
      </c>
      <c r="Q38" s="1" t="s">
        <v>61</v>
      </c>
      <c r="R38" s="12">
        <f>+B11-B29</f>
        <v>24581537</v>
      </c>
      <c r="S38" s="12">
        <f>+C11-C29</f>
        <v>9823815</v>
      </c>
      <c r="T38" s="12">
        <f>+D11-D29</f>
        <v>-2340475</v>
      </c>
      <c r="U38" s="12">
        <f>+E11-E29</f>
        <v>-20553350</v>
      </c>
      <c r="V38" s="11"/>
    </row>
    <row r="39" spans="1:22" ht="16.5" x14ac:dyDescent="0.25">
      <c r="A39" s="1" t="s">
        <v>27</v>
      </c>
      <c r="B39" s="3">
        <v>15000000</v>
      </c>
      <c r="C39" s="3">
        <v>15000000</v>
      </c>
      <c r="D39" s="3">
        <v>15000000</v>
      </c>
      <c r="E39" s="3">
        <v>15000000</v>
      </c>
      <c r="F39" s="7">
        <f t="shared" si="21"/>
        <v>9.2384854412186093E-2</v>
      </c>
      <c r="G39" s="7">
        <f t="shared" si="13"/>
        <v>0.13315456415808113</v>
      </c>
      <c r="H39" s="7">
        <f t="shared" si="14"/>
        <v>0.1234032615465573</v>
      </c>
      <c r="I39" s="7">
        <f t="shared" si="15"/>
        <v>9.8358820136379616E-2</v>
      </c>
      <c r="J39" s="3">
        <f t="shared" si="4"/>
        <v>0</v>
      </c>
      <c r="K39" s="3">
        <f t="shared" si="5"/>
        <v>0</v>
      </c>
      <c r="L39" s="3">
        <f t="shared" si="6"/>
        <v>0</v>
      </c>
      <c r="M39" s="7">
        <f t="shared" si="7"/>
        <v>0</v>
      </c>
      <c r="N39" s="7">
        <f t="shared" si="8"/>
        <v>0</v>
      </c>
      <c r="O39" s="7">
        <f t="shared" si="9"/>
        <v>0</v>
      </c>
      <c r="Q39" s="1" t="s">
        <v>62</v>
      </c>
      <c r="R39" s="11"/>
      <c r="S39" s="12">
        <f>+AVERAGE(R38:S38)</f>
        <v>17202676</v>
      </c>
      <c r="T39" s="12">
        <f t="shared" ref="T39:U39" si="22">+AVERAGE(S38:T38)</f>
        <v>3741670</v>
      </c>
      <c r="U39" s="12">
        <f t="shared" si="22"/>
        <v>-11446912.5</v>
      </c>
      <c r="V39" s="11"/>
    </row>
    <row r="40" spans="1:22" ht="16.5" x14ac:dyDescent="0.25">
      <c r="A40" s="1" t="s">
        <v>28</v>
      </c>
      <c r="B40" s="3">
        <v>20958058</v>
      </c>
      <c r="C40" s="3">
        <v>20958058</v>
      </c>
      <c r="D40" s="3">
        <v>20959058</v>
      </c>
      <c r="E40" s="3">
        <v>20959058</v>
      </c>
      <c r="F40" s="7">
        <f t="shared" si="21"/>
        <v>0.12908047580614346</v>
      </c>
      <c r="G40" s="7">
        <f t="shared" si="13"/>
        <v>0.18604407190598571</v>
      </c>
      <c r="H40" s="7">
        <f t="shared" si="14"/>
        <v>0.17242774107623093</v>
      </c>
      <c r="I40" s="7">
        <f t="shared" si="15"/>
        <v>0.13743388106999654</v>
      </c>
      <c r="J40" s="3">
        <f t="shared" si="4"/>
        <v>0</v>
      </c>
      <c r="K40" s="3">
        <f t="shared" si="5"/>
        <v>1000</v>
      </c>
      <c r="L40" s="3">
        <f t="shared" si="6"/>
        <v>0</v>
      </c>
      <c r="M40" s="7">
        <f t="shared" si="7"/>
        <v>0</v>
      </c>
      <c r="N40" s="7">
        <f t="shared" si="8"/>
        <v>4.7714344525662256E-5</v>
      </c>
      <c r="O40" s="7">
        <f t="shared" si="9"/>
        <v>0</v>
      </c>
      <c r="Q40" s="13" t="s">
        <v>63</v>
      </c>
      <c r="R40" s="11"/>
      <c r="S40" s="14">
        <f>+C47/S39</f>
        <v>6.9456520601794747</v>
      </c>
      <c r="T40" s="14">
        <f>+D47/T39</f>
        <v>35.335808876784967</v>
      </c>
      <c r="U40" s="14">
        <f>+E47/U39</f>
        <v>-8.0672011776101193</v>
      </c>
      <c r="V40" s="16" t="s">
        <v>47</v>
      </c>
    </row>
    <row r="41" spans="1:22" ht="16.5" x14ac:dyDescent="0.25">
      <c r="A41" s="1" t="s">
        <v>29</v>
      </c>
      <c r="B41" s="3">
        <v>53078017</v>
      </c>
      <c r="C41" s="3">
        <v>40922072</v>
      </c>
      <c r="D41" s="3">
        <v>41577976</v>
      </c>
      <c r="E41" s="3">
        <v>42370185</v>
      </c>
      <c r="F41" s="7">
        <f t="shared" si="21"/>
        <v>0.32690699153550257</v>
      </c>
      <c r="G41" s="7">
        <f t="shared" si="13"/>
        <v>0.36326404410704105</v>
      </c>
      <c r="H41" s="7">
        <f t="shared" si="14"/>
        <v>0.34205718979363214</v>
      </c>
      <c r="I41" s="7">
        <f t="shared" si="15"/>
        <v>0.27783209370400863</v>
      </c>
      <c r="J41" s="3">
        <f t="shared" si="4"/>
        <v>-12155945</v>
      </c>
      <c r="K41" s="3">
        <f t="shared" si="5"/>
        <v>655904</v>
      </c>
      <c r="L41" s="3">
        <f t="shared" si="6"/>
        <v>792209</v>
      </c>
      <c r="M41" s="7">
        <f t="shared" si="7"/>
        <v>-0.22902033058243298</v>
      </c>
      <c r="N41" s="7">
        <f t="shared" si="8"/>
        <v>1.602812291616118E-2</v>
      </c>
      <c r="O41" s="7">
        <f t="shared" si="9"/>
        <v>1.9053572978155575E-2</v>
      </c>
      <c r="Q41" s="11"/>
      <c r="R41" s="11"/>
      <c r="S41" s="11"/>
      <c r="T41" s="11"/>
      <c r="U41" s="11"/>
      <c r="V41" s="11"/>
    </row>
    <row r="42" spans="1:22" ht="16.5" x14ac:dyDescent="0.25">
      <c r="A42" s="5" t="s">
        <v>30</v>
      </c>
      <c r="B42" s="4">
        <f>SUM(B38:B41)</f>
        <v>90538275</v>
      </c>
      <c r="C42" s="4">
        <f t="shared" ref="C42:E42" si="23">SUM(C38:C41)</f>
        <v>78382330</v>
      </c>
      <c r="D42" s="4">
        <f t="shared" si="23"/>
        <v>79039234</v>
      </c>
      <c r="E42" s="4">
        <f t="shared" si="23"/>
        <v>79831443</v>
      </c>
      <c r="F42" s="8">
        <f t="shared" si="21"/>
        <v>0.55762435697369783</v>
      </c>
      <c r="G42" s="8">
        <f t="shared" si="13"/>
        <v>0.69579766592299253</v>
      </c>
      <c r="H42" s="8">
        <f t="shared" si="14"/>
        <v>0.65024661771610293</v>
      </c>
      <c r="I42" s="8">
        <f t="shared" si="15"/>
        <v>0.52347510288430943</v>
      </c>
      <c r="J42" s="4">
        <f t="shared" si="4"/>
        <v>-12155945</v>
      </c>
      <c r="K42" s="4">
        <f t="shared" si="5"/>
        <v>656904</v>
      </c>
      <c r="L42" s="4">
        <f t="shared" si="6"/>
        <v>792209</v>
      </c>
      <c r="M42" s="8">
        <f t="shared" si="7"/>
        <v>-0.134263050626931</v>
      </c>
      <c r="N42" s="8">
        <f t="shared" si="8"/>
        <v>8.380766430393205E-3</v>
      </c>
      <c r="O42" s="8">
        <f t="shared" si="9"/>
        <v>1.0022984281451874E-2</v>
      </c>
      <c r="R42" s="2">
        <v>2017</v>
      </c>
      <c r="S42" s="2">
        <v>2018</v>
      </c>
      <c r="T42" s="2">
        <v>2019</v>
      </c>
      <c r="U42" s="2">
        <v>2020</v>
      </c>
      <c r="V42" s="11"/>
    </row>
    <row r="43" spans="1:22" ht="16.5" x14ac:dyDescent="0.25">
      <c r="A43" s="5" t="s">
        <v>31</v>
      </c>
      <c r="B43" s="4">
        <f>+B37+B42</f>
        <v>162364276</v>
      </c>
      <c r="C43" s="4">
        <f t="shared" ref="C43:E43" si="24">+C37+C42</f>
        <v>112651039</v>
      </c>
      <c r="D43" s="4">
        <f t="shared" si="24"/>
        <v>121552703</v>
      </c>
      <c r="E43" s="4">
        <f t="shared" si="24"/>
        <v>152502846</v>
      </c>
      <c r="F43" s="8">
        <f t="shared" si="21"/>
        <v>1</v>
      </c>
      <c r="G43" s="8">
        <f t="shared" si="13"/>
        <v>1</v>
      </c>
      <c r="H43" s="8">
        <f t="shared" si="14"/>
        <v>1</v>
      </c>
      <c r="I43" s="8">
        <f t="shared" si="15"/>
        <v>1</v>
      </c>
      <c r="J43" s="4">
        <f t="shared" ref="J43" si="25">+C43-B43</f>
        <v>-49713237</v>
      </c>
      <c r="K43" s="4">
        <f t="shared" ref="K43" si="26">+D43-C43</f>
        <v>8901664</v>
      </c>
      <c r="L43" s="4">
        <f t="shared" ref="L43" si="27">+E43-D43</f>
        <v>30950143</v>
      </c>
      <c r="M43" s="8">
        <f t="shared" si="7"/>
        <v>-0.30618334417356685</v>
      </c>
      <c r="N43" s="8">
        <f t="shared" si="8"/>
        <v>7.9019812680112045E-2</v>
      </c>
      <c r="O43" s="8">
        <f t="shared" si="9"/>
        <v>0.25462323943548992</v>
      </c>
      <c r="Q43" s="1" t="s">
        <v>64</v>
      </c>
      <c r="R43" s="12">
        <f>+B5+B6+B7+B8+B10-B23-B24-B25-B26-B28</f>
        <v>24488550</v>
      </c>
      <c r="S43" s="12">
        <f>+C5+C6+C7+C8+C10-C23-C24-C25-C26-C28</f>
        <v>9823815</v>
      </c>
      <c r="T43" s="12">
        <f>+D5+D6+D7+D8+D10-D23-D24-D25-D26-D28</f>
        <v>-2150322</v>
      </c>
      <c r="U43" s="12">
        <f>+E5+E6+E7+E8+E10-E23-E24-E25-E26-E28</f>
        <v>-19870730</v>
      </c>
      <c r="V43" s="11"/>
    </row>
    <row r="44" spans="1:22" ht="16.5" x14ac:dyDescent="0.25">
      <c r="C44" s="6"/>
      <c r="D44" s="6"/>
      <c r="E44" s="6"/>
      <c r="Q44" s="1" t="s">
        <v>62</v>
      </c>
      <c r="R44" s="11"/>
      <c r="S44" s="12">
        <f>+AVERAGE(R43:S43)</f>
        <v>17156182.5</v>
      </c>
      <c r="T44" s="12">
        <f t="shared" ref="T44" si="28">+AVERAGE(S43:T43)</f>
        <v>3836746.5</v>
      </c>
      <c r="U44" s="12">
        <f t="shared" ref="U44" si="29">+AVERAGE(T43:U43)</f>
        <v>-11010526</v>
      </c>
      <c r="V44" s="11"/>
    </row>
    <row r="45" spans="1:22" ht="16.5" x14ac:dyDescent="0.25">
      <c r="C45" s="6"/>
      <c r="D45" s="6"/>
      <c r="E45" s="6"/>
      <c r="F45" s="34" t="s">
        <v>33</v>
      </c>
      <c r="G45" s="34"/>
      <c r="H45" s="34"/>
      <c r="I45" s="34"/>
      <c r="J45" s="34" t="s">
        <v>34</v>
      </c>
      <c r="K45" s="34"/>
      <c r="L45" s="34"/>
      <c r="M45" s="34" t="s">
        <v>35</v>
      </c>
      <c r="N45" s="34"/>
      <c r="O45" s="34"/>
      <c r="Q45" s="13" t="s">
        <v>63</v>
      </c>
      <c r="R45" s="11"/>
      <c r="S45" s="14">
        <f>+C47/S44</f>
        <v>6.9644748766224653</v>
      </c>
      <c r="T45" s="14">
        <f>+D47/T44</f>
        <v>34.460169833998677</v>
      </c>
      <c r="U45" s="14">
        <f>+E47/U44</f>
        <v>-8.3869331946539152</v>
      </c>
      <c r="V45" s="16" t="s">
        <v>47</v>
      </c>
    </row>
    <row r="46" spans="1:22" ht="16.5" x14ac:dyDescent="0.25">
      <c r="A46" s="1"/>
      <c r="B46" s="2">
        <v>2017</v>
      </c>
      <c r="C46" s="2">
        <v>2018</v>
      </c>
      <c r="D46" s="2">
        <v>2019</v>
      </c>
      <c r="E46" s="2">
        <v>2020</v>
      </c>
      <c r="F46" s="2">
        <v>2017</v>
      </c>
      <c r="G46" s="2">
        <v>2018</v>
      </c>
      <c r="H46" s="2">
        <v>2019</v>
      </c>
      <c r="I46" s="2">
        <v>2020</v>
      </c>
      <c r="J46" s="2">
        <v>2018</v>
      </c>
      <c r="K46" s="2">
        <v>2019</v>
      </c>
      <c r="L46" s="2">
        <v>2020</v>
      </c>
      <c r="M46" s="2">
        <v>2018</v>
      </c>
      <c r="N46" s="2">
        <v>2019</v>
      </c>
      <c r="O46" s="2">
        <v>2020</v>
      </c>
    </row>
    <row r="47" spans="1:22" ht="16.5" x14ac:dyDescent="0.25">
      <c r="A47" s="1" t="s">
        <v>125</v>
      </c>
      <c r="B47" s="3">
        <v>113909601</v>
      </c>
      <c r="C47" s="3">
        <v>119483802</v>
      </c>
      <c r="D47" s="3">
        <v>132214936</v>
      </c>
      <c r="E47" s="3">
        <v>92344546</v>
      </c>
      <c r="F47" s="7">
        <f>+B47/B$47</f>
        <v>1</v>
      </c>
      <c r="G47" s="7">
        <f t="shared" ref="G47:I60" si="30">+C47/C$47</f>
        <v>1</v>
      </c>
      <c r="H47" s="7">
        <f t="shared" si="30"/>
        <v>1</v>
      </c>
      <c r="I47" s="7">
        <f t="shared" si="30"/>
        <v>1</v>
      </c>
      <c r="J47" s="3">
        <f>+C47-B47</f>
        <v>5574201</v>
      </c>
      <c r="K47" s="3">
        <f t="shared" ref="K47:L47" si="31">+D47-C47</f>
        <v>12731134</v>
      </c>
      <c r="L47" s="3">
        <f t="shared" si="31"/>
        <v>-39870390</v>
      </c>
      <c r="M47" s="7">
        <f>+C47/B47-1</f>
        <v>4.8935304408624924E-2</v>
      </c>
      <c r="N47" s="7">
        <f t="shared" ref="N47:O47" si="32">+D47/C47-1</f>
        <v>0.10655112899738484</v>
      </c>
      <c r="O47" s="7">
        <f t="shared" si="32"/>
        <v>-0.30155738229151352</v>
      </c>
    </row>
    <row r="48" spans="1:22" ht="16.5" x14ac:dyDescent="0.25">
      <c r="A48" s="1" t="s">
        <v>0</v>
      </c>
      <c r="B48" s="3">
        <v>95702318</v>
      </c>
      <c r="C48" s="3">
        <v>106079408</v>
      </c>
      <c r="D48" s="3">
        <v>118788158</v>
      </c>
      <c r="E48" s="3">
        <v>87115970</v>
      </c>
      <c r="F48" s="7">
        <f t="shared" ref="F48:F60" si="33">+B48/B$47</f>
        <v>0.84016024250668742</v>
      </c>
      <c r="G48" s="7">
        <f t="shared" si="30"/>
        <v>0.88781413232899975</v>
      </c>
      <c r="H48" s="7">
        <f t="shared" si="30"/>
        <v>0.89844734334704812</v>
      </c>
      <c r="I48" s="7">
        <f t="shared" si="30"/>
        <v>0.94337969889418272</v>
      </c>
      <c r="J48" s="3">
        <f t="shared" ref="J48:J60" si="34">+C48-B48</f>
        <v>10377090</v>
      </c>
      <c r="K48" s="3">
        <f t="shared" ref="K48:K60" si="35">+D48-C48</f>
        <v>12708750</v>
      </c>
      <c r="L48" s="3">
        <f t="shared" ref="L48:L60" si="36">+E48-D48</f>
        <v>-31672188</v>
      </c>
      <c r="M48" s="7">
        <f t="shared" ref="M48:M60" si="37">+C48/B48-1</f>
        <v>0.10843091595754251</v>
      </c>
      <c r="N48" s="7">
        <f t="shared" ref="N48:N60" si="38">+D48/C48-1</f>
        <v>0.11980411881634945</v>
      </c>
      <c r="O48" s="7">
        <f t="shared" ref="O48:O60" si="39">+E48/D48-1</f>
        <v>-0.26662748655467827</v>
      </c>
      <c r="Q48" s="37" t="s">
        <v>65</v>
      </c>
      <c r="R48" s="37"/>
      <c r="S48" s="37"/>
      <c r="T48" s="37"/>
      <c r="U48" s="37"/>
    </row>
    <row r="49" spans="1:21" ht="16.5" x14ac:dyDescent="0.25">
      <c r="A49" s="5" t="s">
        <v>1</v>
      </c>
      <c r="B49" s="4">
        <f>+B47-B48</f>
        <v>18207283</v>
      </c>
      <c r="C49" s="4">
        <f t="shared" ref="C49:E49" si="40">+C47-C48</f>
        <v>13404394</v>
      </c>
      <c r="D49" s="4">
        <f t="shared" si="40"/>
        <v>13426778</v>
      </c>
      <c r="E49" s="4">
        <f t="shared" si="40"/>
        <v>5228576</v>
      </c>
      <c r="F49" s="8">
        <f t="shared" si="33"/>
        <v>0.15983975749331261</v>
      </c>
      <c r="G49" s="8">
        <f t="shared" si="30"/>
        <v>0.11218586767100029</v>
      </c>
      <c r="H49" s="8">
        <f t="shared" si="30"/>
        <v>0.10155265665295182</v>
      </c>
      <c r="I49" s="8">
        <f t="shared" si="30"/>
        <v>5.6620301105817339E-2</v>
      </c>
      <c r="J49" s="4">
        <f t="shared" si="34"/>
        <v>-4802889</v>
      </c>
      <c r="K49" s="4">
        <f t="shared" si="35"/>
        <v>22384</v>
      </c>
      <c r="L49" s="4">
        <f t="shared" si="36"/>
        <v>-8198202</v>
      </c>
      <c r="M49" s="8">
        <f t="shared" si="37"/>
        <v>-0.26378944074192723</v>
      </c>
      <c r="N49" s="8">
        <f t="shared" si="38"/>
        <v>1.6699001834772353E-3</v>
      </c>
      <c r="O49" s="8">
        <f t="shared" si="39"/>
        <v>-0.6105859499576145</v>
      </c>
      <c r="R49" s="2">
        <v>2017</v>
      </c>
      <c r="S49" s="2">
        <v>2018</v>
      </c>
      <c r="T49" s="2">
        <v>2019</v>
      </c>
      <c r="U49" s="2">
        <v>2020</v>
      </c>
    </row>
    <row r="50" spans="1:21" ht="16.5" x14ac:dyDescent="0.25">
      <c r="A50" s="1" t="s">
        <v>2</v>
      </c>
      <c r="B50" s="3"/>
      <c r="C50" s="3"/>
      <c r="D50" s="3"/>
      <c r="E50" s="3"/>
      <c r="F50" s="7"/>
      <c r="G50" s="7"/>
      <c r="H50" s="7"/>
      <c r="I50" s="7"/>
      <c r="J50" s="3"/>
      <c r="K50" s="3"/>
      <c r="L50" s="3"/>
      <c r="M50" s="7"/>
      <c r="N50" s="7"/>
      <c r="O50" s="7"/>
      <c r="Q50" s="1" t="s">
        <v>66</v>
      </c>
      <c r="R50" s="17">
        <f>+B11/B29</f>
        <v>1.3852290749653258</v>
      </c>
      <c r="S50" s="17">
        <f>+C11/C29</f>
        <v>1.3730325995014088</v>
      </c>
      <c r="T50" s="17">
        <f>+D11/D29</f>
        <v>0.9261346064974405</v>
      </c>
      <c r="U50" s="17">
        <f>+E11/E29</f>
        <v>0.66450956722340571</v>
      </c>
    </row>
    <row r="51" spans="1:21" ht="16.5" x14ac:dyDescent="0.25">
      <c r="A51" s="1" t="s">
        <v>3</v>
      </c>
      <c r="B51" s="3">
        <v>5095627</v>
      </c>
      <c r="C51" s="3">
        <v>5866648</v>
      </c>
      <c r="D51" s="3">
        <v>8207839</v>
      </c>
      <c r="E51" s="3">
        <v>6848012</v>
      </c>
      <c r="F51" s="7">
        <f t="shared" si="33"/>
        <v>4.4733955305488252E-2</v>
      </c>
      <c r="G51" s="7">
        <f t="shared" si="30"/>
        <v>4.9099944107905101E-2</v>
      </c>
      <c r="H51" s="7">
        <f t="shared" si="30"/>
        <v>6.2079514223718262E-2</v>
      </c>
      <c r="I51" s="7">
        <f t="shared" si="30"/>
        <v>7.4157189532341197E-2</v>
      </c>
      <c r="J51" s="3">
        <f t="shared" si="34"/>
        <v>771021</v>
      </c>
      <c r="K51" s="3">
        <f t="shared" si="35"/>
        <v>2341191</v>
      </c>
      <c r="L51" s="3">
        <f t="shared" si="36"/>
        <v>-1359827</v>
      </c>
      <c r="M51" s="7">
        <f t="shared" si="37"/>
        <v>0.15131032942560352</v>
      </c>
      <c r="N51" s="7">
        <f t="shared" si="38"/>
        <v>0.39906791748882831</v>
      </c>
      <c r="O51" s="7">
        <f t="shared" si="39"/>
        <v>-0.16567418049988558</v>
      </c>
      <c r="Q51" s="1" t="s">
        <v>67</v>
      </c>
      <c r="R51" s="17">
        <f>+(B5+B6+B9)/B29</f>
        <v>1.1838586541542642</v>
      </c>
      <c r="S51" s="17">
        <f>+(C5+C6+C9)/C29</f>
        <v>0.90315714400499048</v>
      </c>
      <c r="T51" s="17">
        <f>+(D5+D6+D9)/D29</f>
        <v>0.46209875837590592</v>
      </c>
      <c r="U51" s="17">
        <f>+(E5+E6+E9)/E29</f>
        <v>0.29896675178790927</v>
      </c>
    </row>
    <row r="52" spans="1:21" ht="16.5" x14ac:dyDescent="0.25">
      <c r="A52" s="1" t="s">
        <v>4</v>
      </c>
      <c r="B52" s="3">
        <v>3833875</v>
      </c>
      <c r="C52" s="3">
        <v>3807832</v>
      </c>
      <c r="D52" s="3">
        <v>2893785</v>
      </c>
      <c r="E52" s="3">
        <v>2041319</v>
      </c>
      <c r="F52" s="7">
        <f t="shared" si="33"/>
        <v>3.3657171707589424E-2</v>
      </c>
      <c r="G52" s="7">
        <f t="shared" si="30"/>
        <v>3.1869022714894862E-2</v>
      </c>
      <c r="H52" s="7">
        <f t="shared" si="30"/>
        <v>2.1886975008632913E-2</v>
      </c>
      <c r="I52" s="7">
        <f t="shared" si="30"/>
        <v>2.2105463597167935E-2</v>
      </c>
      <c r="J52" s="3">
        <f t="shared" si="34"/>
        <v>-26043</v>
      </c>
      <c r="K52" s="3">
        <f t="shared" si="35"/>
        <v>-914047</v>
      </c>
      <c r="L52" s="3">
        <f t="shared" si="36"/>
        <v>-852466</v>
      </c>
      <c r="M52" s="7">
        <f t="shared" si="37"/>
        <v>-6.7928662254246319E-3</v>
      </c>
      <c r="N52" s="7">
        <f t="shared" si="38"/>
        <v>-0.24004394101420445</v>
      </c>
      <c r="O52" s="7">
        <f t="shared" si="39"/>
        <v>-0.29458511948883559</v>
      </c>
      <c r="Q52" s="1" t="s">
        <v>68</v>
      </c>
      <c r="R52" s="3">
        <f>+R38</f>
        <v>24581537</v>
      </c>
      <c r="S52" s="3">
        <f t="shared" ref="S52:U52" si="41">+S38</f>
        <v>9823815</v>
      </c>
      <c r="T52" s="3">
        <f t="shared" si="41"/>
        <v>-2340475</v>
      </c>
      <c r="U52" s="3">
        <f t="shared" si="41"/>
        <v>-20553350</v>
      </c>
    </row>
    <row r="53" spans="1:21" ht="16.5" x14ac:dyDescent="0.25">
      <c r="A53" s="1" t="s">
        <v>5</v>
      </c>
      <c r="B53" s="3">
        <v>455332</v>
      </c>
      <c r="C53" s="3">
        <v>76620</v>
      </c>
      <c r="D53" s="3"/>
      <c r="E53" s="3"/>
      <c r="F53" s="7">
        <f t="shared" si="33"/>
        <v>3.9973101126041166E-3</v>
      </c>
      <c r="G53" s="7">
        <f t="shared" si="30"/>
        <v>6.4125846949530452E-4</v>
      </c>
      <c r="H53" s="7"/>
      <c r="I53" s="7"/>
      <c r="J53" s="3">
        <f t="shared" si="34"/>
        <v>-378712</v>
      </c>
      <c r="K53" s="3">
        <f t="shared" si="35"/>
        <v>-76620</v>
      </c>
      <c r="L53" s="3"/>
      <c r="M53" s="7">
        <f t="shared" si="37"/>
        <v>-0.83172717928895845</v>
      </c>
      <c r="N53" s="7">
        <f t="shared" si="38"/>
        <v>-1</v>
      </c>
      <c r="O53" s="7"/>
      <c r="Q53" s="9" t="s">
        <v>69</v>
      </c>
      <c r="R53" s="17">
        <f>+(B5+B9)/(B23+B25+B27)</f>
        <v>6.7141766211797113E-2</v>
      </c>
      <c r="S53" s="17">
        <f>+(C5+C9)/(C23+C25+C27)</f>
        <v>0.40551032446818186</v>
      </c>
      <c r="T53" s="17">
        <f>+(D5+D9)/(D23+D25+D27)</f>
        <v>6.3363373979265183E-2</v>
      </c>
      <c r="U53" s="17">
        <f>+(E5+E9)/(E23+E25+E27)</f>
        <v>8.595477359753298E-2</v>
      </c>
    </row>
    <row r="54" spans="1:21" ht="16.5" x14ac:dyDescent="0.25">
      <c r="A54" s="1" t="s">
        <v>6</v>
      </c>
      <c r="B54" s="3"/>
      <c r="C54" s="3">
        <v>502888</v>
      </c>
      <c r="D54" s="3"/>
      <c r="E54" s="3"/>
      <c r="F54" s="7"/>
      <c r="G54" s="7">
        <f t="shared" si="30"/>
        <v>4.208838282531384E-3</v>
      </c>
      <c r="H54" s="7"/>
      <c r="I54" s="7"/>
      <c r="J54" s="3">
        <f t="shared" si="34"/>
        <v>502888</v>
      </c>
      <c r="K54" s="3">
        <f t="shared" si="35"/>
        <v>-502888</v>
      </c>
      <c r="L54" s="3"/>
      <c r="M54" s="7"/>
      <c r="N54" s="7"/>
      <c r="O54" s="7"/>
    </row>
    <row r="55" spans="1:21" ht="16.5" x14ac:dyDescent="0.25">
      <c r="A55" s="5" t="s">
        <v>37</v>
      </c>
      <c r="B55" s="4">
        <f>+B49+B50-B51-B52-B53+B54</f>
        <v>8822449</v>
      </c>
      <c r="C55" s="4">
        <f>+C49+C50-C51-C52-C53+C54</f>
        <v>4156182</v>
      </c>
      <c r="D55" s="4">
        <f>+D49+D50-D51-D52-D53+D54</f>
        <v>2325154</v>
      </c>
      <c r="E55" s="4">
        <f>+E49+E50-E51-E52-E53+E54</f>
        <v>-3660755</v>
      </c>
      <c r="F55" s="8">
        <f t="shared" si="33"/>
        <v>7.7451320367630819E-2</v>
      </c>
      <c r="G55" s="8">
        <f t="shared" si="30"/>
        <v>3.4784480661236405E-2</v>
      </c>
      <c r="H55" s="8">
        <f t="shared" si="30"/>
        <v>1.7586167420600651E-2</v>
      </c>
      <c r="I55" s="8">
        <f t="shared" si="30"/>
        <v>-3.9642352023691797E-2</v>
      </c>
      <c r="J55" s="4">
        <f t="shared" si="34"/>
        <v>-4666267</v>
      </c>
      <c r="K55" s="4">
        <f t="shared" si="35"/>
        <v>-1831028</v>
      </c>
      <c r="L55" s="4">
        <f t="shared" si="36"/>
        <v>-5985909</v>
      </c>
      <c r="M55" s="8">
        <f t="shared" si="37"/>
        <v>-0.5289083563985465</v>
      </c>
      <c r="N55" s="8">
        <f t="shared" si="38"/>
        <v>-0.44055529810773442</v>
      </c>
      <c r="O55" s="8">
        <f t="shared" si="39"/>
        <v>-2.5744139958041492</v>
      </c>
      <c r="Q55" s="37" t="s">
        <v>70</v>
      </c>
      <c r="R55" s="37"/>
      <c r="S55" s="37"/>
      <c r="T55" s="37"/>
      <c r="U55" s="37"/>
    </row>
    <row r="56" spans="1:21" ht="16.5" x14ac:dyDescent="0.25">
      <c r="A56" s="1" t="s">
        <v>7</v>
      </c>
      <c r="B56" s="3">
        <v>435492</v>
      </c>
      <c r="C56" s="3">
        <v>735859</v>
      </c>
      <c r="D56" s="3">
        <v>2931102</v>
      </c>
      <c r="E56" s="3">
        <v>5909132</v>
      </c>
      <c r="F56" s="7">
        <f t="shared" si="33"/>
        <v>3.8231369101187529E-3</v>
      </c>
      <c r="G56" s="7">
        <f t="shared" si="30"/>
        <v>6.1586506930872524E-3</v>
      </c>
      <c r="H56" s="7">
        <f t="shared" si="30"/>
        <v>2.2169219973755462E-2</v>
      </c>
      <c r="I56" s="7">
        <f t="shared" si="30"/>
        <v>6.3990048746354763E-2</v>
      </c>
      <c r="J56" s="3">
        <f t="shared" si="34"/>
        <v>300367</v>
      </c>
      <c r="K56" s="3">
        <f t="shared" si="35"/>
        <v>2195243</v>
      </c>
      <c r="L56" s="3">
        <f t="shared" si="36"/>
        <v>2978030</v>
      </c>
      <c r="M56" s="7">
        <f t="shared" si="37"/>
        <v>0.68971875487953849</v>
      </c>
      <c r="N56" s="7">
        <f t="shared" si="38"/>
        <v>2.9832386367497032</v>
      </c>
      <c r="O56" s="7">
        <f t="shared" si="39"/>
        <v>1.0160103606083992</v>
      </c>
      <c r="R56" s="2">
        <v>2017</v>
      </c>
      <c r="S56" s="2">
        <v>2018</v>
      </c>
      <c r="T56" s="2">
        <v>2019</v>
      </c>
      <c r="U56" s="2">
        <v>2020</v>
      </c>
    </row>
    <row r="57" spans="1:21" ht="16.5" x14ac:dyDescent="0.25">
      <c r="A57" s="1" t="s">
        <v>8</v>
      </c>
      <c r="B57" s="3">
        <v>47342</v>
      </c>
      <c r="C57" s="3">
        <v>126254</v>
      </c>
      <c r="D57" s="3">
        <v>408583</v>
      </c>
      <c r="E57" s="3">
        <v>941165</v>
      </c>
      <c r="F57" s="7">
        <f t="shared" si="33"/>
        <v>4.1561026976119424E-4</v>
      </c>
      <c r="G57" s="7">
        <f t="shared" si="30"/>
        <v>1.0566620570041786E-3</v>
      </c>
      <c r="H57" s="7">
        <f t="shared" si="30"/>
        <v>3.0902938227795988E-3</v>
      </c>
      <c r="I57" s="7">
        <f t="shared" si="30"/>
        <v>1.0191885073537531E-2</v>
      </c>
      <c r="J57" s="3">
        <f t="shared" si="34"/>
        <v>78912</v>
      </c>
      <c r="K57" s="3">
        <f t="shared" si="35"/>
        <v>282329</v>
      </c>
      <c r="L57" s="3">
        <f t="shared" si="36"/>
        <v>532582</v>
      </c>
      <c r="M57" s="7">
        <f t="shared" si="37"/>
        <v>1.666849731739259</v>
      </c>
      <c r="N57" s="7">
        <f t="shared" si="38"/>
        <v>2.2361984570785878</v>
      </c>
      <c r="O57" s="7">
        <f t="shared" si="39"/>
        <v>1.3034854607264621</v>
      </c>
      <c r="Q57" s="1" t="s">
        <v>71</v>
      </c>
      <c r="R57" s="17">
        <f>+B37/B22</f>
        <v>0.44237564302630217</v>
      </c>
      <c r="S57" s="17">
        <f>+C37/C22</f>
        <v>0.30420233407700747</v>
      </c>
      <c r="T57" s="17">
        <f>+D37/D22</f>
        <v>0.34975338228389707</v>
      </c>
      <c r="U57" s="17">
        <f>+E37/E22</f>
        <v>0.47652489711569057</v>
      </c>
    </row>
    <row r="58" spans="1:21" ht="16.5" x14ac:dyDescent="0.25">
      <c r="A58" s="5" t="s">
        <v>9</v>
      </c>
      <c r="B58" s="4">
        <f>+B55+B56-B57</f>
        <v>9210599</v>
      </c>
      <c r="C58" s="4">
        <f t="shared" ref="C58:E58" si="42">+C55+C56-C57</f>
        <v>4765787</v>
      </c>
      <c r="D58" s="4">
        <f t="shared" si="42"/>
        <v>4847673</v>
      </c>
      <c r="E58" s="4">
        <f t="shared" si="42"/>
        <v>1307212</v>
      </c>
      <c r="F58" s="8">
        <f t="shared" si="33"/>
        <v>8.0858847007988385E-2</v>
      </c>
      <c r="G58" s="8">
        <f t="shared" si="30"/>
        <v>3.9886469297319482E-2</v>
      </c>
      <c r="H58" s="8">
        <f t="shared" si="30"/>
        <v>3.6665093571576511E-2</v>
      </c>
      <c r="I58" s="8">
        <f t="shared" si="30"/>
        <v>1.415581164912544E-2</v>
      </c>
      <c r="J58" s="4">
        <f t="shared" si="34"/>
        <v>-4444812</v>
      </c>
      <c r="K58" s="4">
        <f t="shared" si="35"/>
        <v>81886</v>
      </c>
      <c r="L58" s="4">
        <f t="shared" si="36"/>
        <v>-3540461</v>
      </c>
      <c r="M58" s="8">
        <f t="shared" si="37"/>
        <v>-0.48257578035912752</v>
      </c>
      <c r="N58" s="8">
        <f t="shared" si="38"/>
        <v>1.7182051988475333E-2</v>
      </c>
      <c r="O58" s="8">
        <f t="shared" si="39"/>
        <v>-0.73034237251563794</v>
      </c>
      <c r="Q58" s="9" t="s">
        <v>74</v>
      </c>
      <c r="S58" s="18">
        <f>+AVERAGE(B37:C37)/AVERAGE(B42:C42)</f>
        <v>0.62807441401242914</v>
      </c>
      <c r="T58" s="18">
        <f>+AVERAGE(C37:D37)/AVERAGE(C42:D42)</f>
        <v>0.48774879405975158</v>
      </c>
      <c r="U58" s="18">
        <f>+AVERAGE(D37:E37)/AVERAGE(D42:E42)</f>
        <v>0.72502285616873152</v>
      </c>
    </row>
    <row r="59" spans="1:21" ht="16.5" x14ac:dyDescent="0.25">
      <c r="A59" s="1" t="s">
        <v>10</v>
      </c>
      <c r="B59" s="3">
        <v>1652756</v>
      </c>
      <c r="C59" s="3">
        <v>464404</v>
      </c>
      <c r="D59" s="3">
        <v>4191769</v>
      </c>
      <c r="E59" s="3">
        <v>515003</v>
      </c>
      <c r="F59" s="7">
        <f t="shared" si="33"/>
        <v>1.4509365193896166E-2</v>
      </c>
      <c r="G59" s="7">
        <f t="shared" si="30"/>
        <v>3.8867527834442364E-3</v>
      </c>
      <c r="H59" s="7">
        <f t="shared" si="30"/>
        <v>3.1704201709858257E-2</v>
      </c>
      <c r="I59" s="7">
        <f t="shared" si="30"/>
        <v>5.5769725696631833E-3</v>
      </c>
      <c r="J59" s="3">
        <f t="shared" si="34"/>
        <v>-1188352</v>
      </c>
      <c r="K59" s="3">
        <f t="shared" si="35"/>
        <v>3727365</v>
      </c>
      <c r="L59" s="3">
        <f t="shared" si="36"/>
        <v>-3676766</v>
      </c>
      <c r="M59" s="7">
        <f t="shared" si="37"/>
        <v>-0.71901236480157993</v>
      </c>
      <c r="N59" s="7">
        <f t="shared" si="38"/>
        <v>8.0261259592940633</v>
      </c>
      <c r="O59" s="7">
        <f t="shared" si="39"/>
        <v>-0.87713946069070126</v>
      </c>
      <c r="Q59" s="1" t="s">
        <v>72</v>
      </c>
      <c r="R59" s="3">
        <f>+B27+B34</f>
        <v>0</v>
      </c>
      <c r="S59" s="3">
        <f>+C27+C34</f>
        <v>0</v>
      </c>
      <c r="T59" s="3">
        <f>+D27+D34</f>
        <v>378028</v>
      </c>
      <c r="U59" s="3">
        <f>+E27+E34</f>
        <v>927165</v>
      </c>
    </row>
    <row r="60" spans="1:21" ht="16.5" x14ac:dyDescent="0.25">
      <c r="A60" s="5" t="s">
        <v>11</v>
      </c>
      <c r="B60" s="4">
        <f>+B58-B59</f>
        <v>7557843</v>
      </c>
      <c r="C60" s="4">
        <f t="shared" ref="C60:E60" si="43">+C58-C59</f>
        <v>4301383</v>
      </c>
      <c r="D60" s="4">
        <f t="shared" si="43"/>
        <v>655904</v>
      </c>
      <c r="E60" s="4">
        <f t="shared" si="43"/>
        <v>792209</v>
      </c>
      <c r="F60" s="8">
        <f t="shared" si="33"/>
        <v>6.6349481814092212E-2</v>
      </c>
      <c r="G60" s="8">
        <f t="shared" si="30"/>
        <v>3.5999716513875242E-2</v>
      </c>
      <c r="H60" s="8">
        <f t="shared" si="30"/>
        <v>4.9608918617182552E-3</v>
      </c>
      <c r="I60" s="8">
        <f t="shared" si="30"/>
        <v>8.5788390794622558E-3</v>
      </c>
      <c r="J60" s="4">
        <f t="shared" si="34"/>
        <v>-3256460</v>
      </c>
      <c r="K60" s="4">
        <f t="shared" si="35"/>
        <v>-3645479</v>
      </c>
      <c r="L60" s="4">
        <f t="shared" si="36"/>
        <v>136305</v>
      </c>
      <c r="M60" s="8">
        <f t="shared" si="37"/>
        <v>-0.43087161244286232</v>
      </c>
      <c r="N60" s="8">
        <f t="shared" si="38"/>
        <v>-0.84751323004717316</v>
      </c>
      <c r="O60" s="8">
        <f t="shared" si="39"/>
        <v>0.20781242376933218</v>
      </c>
      <c r="Q60" s="1" t="s">
        <v>137</v>
      </c>
      <c r="R60" s="7">
        <f>+R59/B22</f>
        <v>0</v>
      </c>
      <c r="S60" s="7">
        <f t="shared" ref="S60:U60" si="44">+S59/C22</f>
        <v>0</v>
      </c>
      <c r="T60" s="7">
        <f t="shared" si="44"/>
        <v>3.1099925437281309E-3</v>
      </c>
      <c r="U60" s="7">
        <f t="shared" si="44"/>
        <v>6.0796570314497608E-3</v>
      </c>
    </row>
    <row r="61" spans="1:21" ht="16.5" x14ac:dyDescent="0.25">
      <c r="A61" s="1"/>
      <c r="Q61" s="1" t="s">
        <v>73</v>
      </c>
      <c r="R61" s="31">
        <f>+R59/B22</f>
        <v>0</v>
      </c>
      <c r="S61" s="31">
        <f>+S59/C22</f>
        <v>0</v>
      </c>
      <c r="T61" s="31">
        <f>+T59/D22</f>
        <v>3.1099925437281309E-3</v>
      </c>
      <c r="U61" s="31">
        <f>+U59/E22</f>
        <v>6.0796570314497608E-3</v>
      </c>
    </row>
    <row r="62" spans="1:21" ht="16.5" x14ac:dyDescent="0.25">
      <c r="A62" s="1" t="s">
        <v>14</v>
      </c>
      <c r="B62" s="3">
        <v>4283115</v>
      </c>
      <c r="C62" s="3">
        <v>4716721</v>
      </c>
      <c r="D62" s="3">
        <v>5527565</v>
      </c>
      <c r="E62" s="3">
        <v>6478472</v>
      </c>
      <c r="Q62" s="9" t="s">
        <v>75</v>
      </c>
      <c r="R62" s="32"/>
      <c r="S62" s="31">
        <f>+AVERAGE(R59:S59)/AVERAGE(B42:C42)</f>
        <v>0</v>
      </c>
      <c r="T62" s="31">
        <f>+AVERAGE(S59:T59)/AVERAGE(C42:D42)</f>
        <v>2.4013736771157984E-3</v>
      </c>
      <c r="U62" s="31">
        <f>+AVERAGE(T59:U59)/AVERAGE(D42:E42)</f>
        <v>8.2154430549823861E-3</v>
      </c>
    </row>
    <row r="63" spans="1:21" ht="16.5" x14ac:dyDescent="0.25">
      <c r="A63" s="10" t="s">
        <v>36</v>
      </c>
      <c r="B63" s="4">
        <f>+B55+B62</f>
        <v>13105564</v>
      </c>
      <c r="C63" s="4">
        <f t="shared" ref="C63:E63" si="45">+C55+C62</f>
        <v>8872903</v>
      </c>
      <c r="D63" s="4">
        <f t="shared" si="45"/>
        <v>7852719</v>
      </c>
      <c r="E63" s="4">
        <f t="shared" si="45"/>
        <v>2817717</v>
      </c>
      <c r="F63" s="8">
        <f>+B63/B$47</f>
        <v>0.11505232118230314</v>
      </c>
      <c r="G63" s="8">
        <f t="shared" ref="G63:I63" si="46">+C63/C$47</f>
        <v>7.4260300153488584E-2</v>
      </c>
      <c r="H63" s="8">
        <f t="shared" si="46"/>
        <v>5.9393584700596913E-2</v>
      </c>
      <c r="I63" s="8">
        <f t="shared" si="46"/>
        <v>3.0513085201588408E-2</v>
      </c>
      <c r="J63" s="4">
        <f t="shared" ref="J63:L63" si="47">+C63-B63</f>
        <v>-4232661</v>
      </c>
      <c r="K63" s="4">
        <f t="shared" si="47"/>
        <v>-1020184</v>
      </c>
      <c r="L63" s="4">
        <f t="shared" si="47"/>
        <v>-5035002</v>
      </c>
      <c r="M63" s="8">
        <f t="shared" ref="M63:O63" si="48">+C63/B63-1</f>
        <v>-0.32296671856319958</v>
      </c>
      <c r="N63" s="8">
        <f t="shared" si="48"/>
        <v>-0.11497747693173244</v>
      </c>
      <c r="O63" s="8">
        <f t="shared" si="48"/>
        <v>-0.64117944370605895</v>
      </c>
      <c r="Q63" s="9" t="s">
        <v>76</v>
      </c>
      <c r="R63" s="20">
        <f>+B55/B57</f>
        <v>186.3556461492966</v>
      </c>
      <c r="S63" s="20">
        <f>+C55/C57</f>
        <v>32.919210480460023</v>
      </c>
      <c r="T63" s="18">
        <f>+D55/D57</f>
        <v>5.6907751913319942</v>
      </c>
      <c r="U63" s="18">
        <f>+E55/E57</f>
        <v>-3.8895995919950273</v>
      </c>
    </row>
    <row r="64" spans="1:21" ht="16.5" x14ac:dyDescent="0.25">
      <c r="Q64" s="9" t="s">
        <v>77</v>
      </c>
      <c r="R64" s="20">
        <f>+B63/B57</f>
        <v>276.82742596426004</v>
      </c>
      <c r="S64" s="20">
        <f>+C63/C57</f>
        <v>70.278193166157109</v>
      </c>
      <c r="T64" s="20">
        <f>+D63/D57</f>
        <v>19.219397282804227</v>
      </c>
      <c r="U64" s="20">
        <f>+E63/E57</f>
        <v>2.9938608001785023</v>
      </c>
    </row>
    <row r="65" spans="1:21" ht="16.5" x14ac:dyDescent="0.25">
      <c r="B65" s="2">
        <v>2017</v>
      </c>
      <c r="C65" s="2">
        <v>2018</v>
      </c>
      <c r="D65" s="2">
        <v>2019</v>
      </c>
      <c r="E65" s="2">
        <v>2020</v>
      </c>
      <c r="Q65" s="9" t="s">
        <v>78</v>
      </c>
      <c r="R65" s="33">
        <f>+B57/B47</f>
        <v>4.1561026976119424E-4</v>
      </c>
      <c r="S65" s="33">
        <f>+C57/C47</f>
        <v>1.0566620570041786E-3</v>
      </c>
      <c r="T65" s="33">
        <f>+D57/D47</f>
        <v>3.0902938227795988E-3</v>
      </c>
      <c r="U65" s="33">
        <f>+E57/E47</f>
        <v>1.0191885073537531E-2</v>
      </c>
    </row>
    <row r="66" spans="1:21" ht="16.5" x14ac:dyDescent="0.25">
      <c r="A66" s="1" t="s">
        <v>121</v>
      </c>
      <c r="B66" s="28"/>
      <c r="C66" s="27">
        <f>+M47</f>
        <v>4.8935304408624924E-2</v>
      </c>
      <c r="D66" s="27">
        <f t="shared" ref="D66:E66" si="49">+N47</f>
        <v>0.10655112899738484</v>
      </c>
      <c r="E66" s="27">
        <f t="shared" si="49"/>
        <v>-0.30155738229151352</v>
      </c>
      <c r="Q66" s="19" t="s">
        <v>79</v>
      </c>
      <c r="S66" s="6"/>
      <c r="T66" s="6"/>
      <c r="U66" s="6"/>
    </row>
    <row r="67" spans="1:21" ht="16.5" x14ac:dyDescent="0.25">
      <c r="A67" s="5" t="s">
        <v>122</v>
      </c>
      <c r="B67" s="25">
        <f>+AVERAGE(C66:E66)</f>
        <v>-4.8690316295167922E-2</v>
      </c>
      <c r="Q67" s="19" t="s">
        <v>80</v>
      </c>
    </row>
    <row r="68" spans="1:21" ht="16.5" x14ac:dyDescent="0.25">
      <c r="A68" s="1" t="s">
        <v>92</v>
      </c>
      <c r="B68" s="26">
        <f>+F49</f>
        <v>0.15983975749331261</v>
      </c>
      <c r="C68" s="24">
        <f t="shared" ref="C68:E68" si="50">+G49</f>
        <v>0.11218586767100029</v>
      </c>
      <c r="D68" s="7">
        <f t="shared" si="50"/>
        <v>0.10155265665295182</v>
      </c>
      <c r="E68" s="7">
        <f t="shared" si="50"/>
        <v>5.6620301105817339E-2</v>
      </c>
      <c r="Q68" s="37" t="s">
        <v>81</v>
      </c>
      <c r="R68" s="37"/>
      <c r="S68" s="37"/>
      <c r="T68" s="37"/>
      <c r="U68" s="37"/>
    </row>
    <row r="69" spans="1:21" ht="16.5" x14ac:dyDescent="0.25">
      <c r="A69" s="5" t="s">
        <v>93</v>
      </c>
      <c r="B69" s="25">
        <f>+AVERAGE(B68:E68)</f>
        <v>0.10754964573077051</v>
      </c>
      <c r="R69" s="2">
        <v>2017</v>
      </c>
      <c r="S69" s="2">
        <v>2018</v>
      </c>
      <c r="T69" s="2">
        <v>2019</v>
      </c>
      <c r="U69" s="2">
        <v>2020</v>
      </c>
    </row>
    <row r="70" spans="1:21" ht="16.5" x14ac:dyDescent="0.25">
      <c r="A70" s="1" t="s">
        <v>83</v>
      </c>
      <c r="B70" s="26">
        <f>+F55</f>
        <v>7.7451320367630819E-2</v>
      </c>
      <c r="C70" s="26">
        <f t="shared" ref="C70:E70" si="51">+G55</f>
        <v>3.4784480661236405E-2</v>
      </c>
      <c r="D70" s="26">
        <f t="shared" si="51"/>
        <v>1.7586167420600651E-2</v>
      </c>
      <c r="E70" s="26">
        <f t="shared" si="51"/>
        <v>-3.9642352023691797E-2</v>
      </c>
      <c r="Q70" s="9" t="s">
        <v>82</v>
      </c>
      <c r="R70" s="7">
        <f>+F49</f>
        <v>0.15983975749331261</v>
      </c>
      <c r="S70" s="7">
        <f>+G49</f>
        <v>0.11218586767100029</v>
      </c>
      <c r="T70" s="7">
        <f>+H49</f>
        <v>0.10155265665295182</v>
      </c>
      <c r="U70" s="7">
        <f>+I49</f>
        <v>5.6620301105817339E-2</v>
      </c>
    </row>
    <row r="71" spans="1:21" ht="16.5" x14ac:dyDescent="0.25">
      <c r="A71" s="5" t="s">
        <v>136</v>
      </c>
      <c r="B71" s="25">
        <f>+AVERAGE(B70:E70)</f>
        <v>2.2544904106444018E-2</v>
      </c>
      <c r="Q71" s="9" t="s">
        <v>83</v>
      </c>
      <c r="R71" s="7">
        <f>+F55</f>
        <v>7.7451320367630819E-2</v>
      </c>
      <c r="S71" s="7">
        <f>+G55</f>
        <v>3.4784480661236405E-2</v>
      </c>
      <c r="T71" s="7">
        <f>+H55</f>
        <v>1.7586167420600651E-2</v>
      </c>
      <c r="U71" s="7">
        <f>+I55</f>
        <v>-3.9642352023691797E-2</v>
      </c>
    </row>
    <row r="72" spans="1:21" ht="16.5" x14ac:dyDescent="0.25">
      <c r="A72" s="1" t="s">
        <v>84</v>
      </c>
      <c r="B72" s="26">
        <f>+F63</f>
        <v>0.11505232118230314</v>
      </c>
      <c r="C72" s="24">
        <f t="shared" ref="C72:E72" si="52">+G63</f>
        <v>7.4260300153488584E-2</v>
      </c>
      <c r="D72" s="7">
        <f t="shared" si="52"/>
        <v>5.9393584700596913E-2</v>
      </c>
      <c r="E72" s="7">
        <f t="shared" si="52"/>
        <v>3.0513085201588408E-2</v>
      </c>
      <c r="Q72" s="9"/>
      <c r="R72" s="7"/>
      <c r="S72" s="7"/>
      <c r="T72" s="7"/>
      <c r="U72" s="7"/>
    </row>
    <row r="73" spans="1:21" ht="16.5" x14ac:dyDescent="0.25">
      <c r="A73" s="5" t="s">
        <v>94</v>
      </c>
      <c r="B73" s="25">
        <f>+AVERAGE(B72:E72)</f>
        <v>6.9804822809494266E-2</v>
      </c>
      <c r="Q73" s="9" t="s">
        <v>84</v>
      </c>
      <c r="R73" s="7">
        <f>+F63</f>
        <v>0.11505232118230314</v>
      </c>
      <c r="S73" s="7">
        <f>+G63</f>
        <v>7.4260300153488584E-2</v>
      </c>
      <c r="T73" s="7">
        <f>+H63</f>
        <v>5.9393584700596913E-2</v>
      </c>
      <c r="U73" s="7">
        <f>+I63</f>
        <v>3.0513085201588408E-2</v>
      </c>
    </row>
    <row r="74" spans="1:21" ht="16.5" x14ac:dyDescent="0.25">
      <c r="A74" s="1" t="s">
        <v>126</v>
      </c>
      <c r="B74" s="26">
        <f>+F60</f>
        <v>6.6349481814092212E-2</v>
      </c>
      <c r="C74" s="26">
        <f t="shared" ref="C74:E74" si="53">+G60</f>
        <v>3.5999716513875242E-2</v>
      </c>
      <c r="D74" s="26">
        <f t="shared" si="53"/>
        <v>4.9608918617182552E-3</v>
      </c>
      <c r="E74" s="26">
        <f t="shared" si="53"/>
        <v>8.5788390794622558E-3</v>
      </c>
      <c r="Q74" s="9" t="s">
        <v>85</v>
      </c>
      <c r="R74" s="21">
        <f>+F60</f>
        <v>6.6349481814092212E-2</v>
      </c>
      <c r="S74" s="21">
        <f>+G60</f>
        <v>3.5999716513875242E-2</v>
      </c>
      <c r="T74" s="21">
        <f>+H60</f>
        <v>4.9608918617182552E-3</v>
      </c>
      <c r="U74" s="21">
        <f>+I60</f>
        <v>8.5788390794622558E-3</v>
      </c>
    </row>
    <row r="75" spans="1:21" ht="16.5" x14ac:dyDescent="0.25">
      <c r="A75" s="5" t="s">
        <v>127</v>
      </c>
      <c r="B75" s="25">
        <f>+AVERAGE(B74:E74)</f>
        <v>2.8972232317286996E-2</v>
      </c>
    </row>
    <row r="76" spans="1:21" ht="16.5" x14ac:dyDescent="0.25">
      <c r="A76" s="1" t="s">
        <v>130</v>
      </c>
      <c r="B76" s="28"/>
      <c r="C76" s="27">
        <f>+S44/C47</f>
        <v>0.14358584354388054</v>
      </c>
      <c r="D76" s="27">
        <f t="shared" ref="D76:E76" si="54">+T44/D47</f>
        <v>2.9019009622331927E-2</v>
      </c>
      <c r="E76" s="27">
        <f t="shared" si="54"/>
        <v>-0.1192330947189886</v>
      </c>
      <c r="Q76" s="9" t="s">
        <v>86</v>
      </c>
      <c r="S76" s="21">
        <f>+C55/AVERAGE(B22:C22)</f>
        <v>3.0225094918804794E-2</v>
      </c>
      <c r="T76" s="21">
        <f>+D55/AVERAGE(C22:D22)</f>
        <v>1.9855822798937175E-2</v>
      </c>
      <c r="U76" s="21">
        <f>+E55/AVERAGE(D22:E22)</f>
        <v>-2.6715423302740716E-2</v>
      </c>
    </row>
    <row r="77" spans="1:21" ht="16.5" x14ac:dyDescent="0.25">
      <c r="A77" s="1" t="s">
        <v>95</v>
      </c>
      <c r="B77" s="3">
        <f>+B48+B51+B52+B53</f>
        <v>105087152</v>
      </c>
      <c r="C77" s="3">
        <f>+C48+C51+C52+C53</f>
        <v>115830508</v>
      </c>
      <c r="D77" s="3">
        <f>+D48+D51+D52+D53</f>
        <v>129889782</v>
      </c>
      <c r="E77" s="3">
        <f>+E48+E51+E52+E53</f>
        <v>96005301</v>
      </c>
      <c r="Q77" s="9" t="s">
        <v>87</v>
      </c>
      <c r="S77" s="21">
        <f>+C60/AVERAGE(B22:C22)</f>
        <v>3.1281043384802046E-2</v>
      </c>
      <c r="T77" s="21">
        <f>+D60/AVERAGE(C22:D22)</f>
        <v>5.6011402243094817E-3</v>
      </c>
      <c r="U77" s="21">
        <f>+E60/AVERAGE(D22:E22)</f>
        <v>5.7813753663495428E-3</v>
      </c>
    </row>
    <row r="78" spans="1:21" ht="16.5" x14ac:dyDescent="0.25">
      <c r="A78" s="9" t="s">
        <v>128</v>
      </c>
      <c r="B78" s="29"/>
      <c r="C78" s="7">
        <f>+C77/B77-1</f>
        <v>0.1022328210017529</v>
      </c>
      <c r="D78" s="7">
        <f t="shared" ref="D78:E78" si="55">+D77/C77-1</f>
        <v>0.12137798791316712</v>
      </c>
      <c r="E78" s="7">
        <f t="shared" si="55"/>
        <v>-0.26087102833077358</v>
      </c>
      <c r="Q78" s="9" t="s">
        <v>88</v>
      </c>
      <c r="S78" s="21">
        <f>+C60/AVERAGE(B42:C42)</f>
        <v>5.0927866378408959E-2</v>
      </c>
      <c r="T78" s="21">
        <f>+D60/AVERAGE(C42:D42)</f>
        <v>8.3330896140759985E-3</v>
      </c>
      <c r="U78" s="21">
        <f>+E60/AVERAGE(D42:E42)</f>
        <v>9.973004647043834E-3</v>
      </c>
    </row>
    <row r="79" spans="1:21" ht="16.5" x14ac:dyDescent="0.25">
      <c r="A79" s="9" t="s">
        <v>96</v>
      </c>
      <c r="B79" s="20">
        <f>+B63/B57</f>
        <v>276.82742596426004</v>
      </c>
      <c r="C79" s="20">
        <f>+C63/C57</f>
        <v>70.278193166157109</v>
      </c>
      <c r="D79" s="20">
        <f>+D63/D57</f>
        <v>19.219397282804227</v>
      </c>
      <c r="E79" s="18">
        <f>+E63/E57</f>
        <v>2.9938608001785023</v>
      </c>
    </row>
    <row r="80" spans="1:21" ht="16.5" x14ac:dyDescent="0.25">
      <c r="A80" s="9" t="s">
        <v>97</v>
      </c>
      <c r="C80" s="7">
        <f>+C63/B63-1</f>
        <v>-0.32296671856319958</v>
      </c>
      <c r="D80" s="7">
        <f>+D63/C63-1</f>
        <v>-0.11497747693173244</v>
      </c>
      <c r="E80" s="7">
        <f>+E63/D63-1</f>
        <v>-0.64117944370605895</v>
      </c>
      <c r="Q80" s="37" t="s">
        <v>89</v>
      </c>
      <c r="R80" s="37"/>
      <c r="S80" s="37"/>
      <c r="T80" s="37"/>
      <c r="U80" s="37"/>
    </row>
    <row r="81" spans="1:21" ht="16.5" x14ac:dyDescent="0.25">
      <c r="A81" s="9" t="s">
        <v>123</v>
      </c>
      <c r="C81" s="7">
        <f>+C57/B57-1</f>
        <v>1.666849731739259</v>
      </c>
      <c r="D81" s="7">
        <f>+D57/C57-1</f>
        <v>2.2361984570785878</v>
      </c>
      <c r="E81" s="7">
        <f>+E57/D57-1</f>
        <v>1.3034854607264621</v>
      </c>
      <c r="S81" s="2">
        <v>2018</v>
      </c>
      <c r="T81" s="2">
        <v>2019</v>
      </c>
      <c r="U81" s="2">
        <v>2020</v>
      </c>
    </row>
    <row r="82" spans="1:21" ht="16.5" x14ac:dyDescent="0.25">
      <c r="Q82" s="35" t="s">
        <v>85</v>
      </c>
      <c r="R82" s="36"/>
      <c r="S82" s="21">
        <f>+S74</f>
        <v>3.5999716513875242E-2</v>
      </c>
      <c r="T82" s="21">
        <f>+T74</f>
        <v>4.9608918617182552E-3</v>
      </c>
      <c r="U82" s="21">
        <f>+U74</f>
        <v>8.5788390794622558E-3</v>
      </c>
    </row>
    <row r="83" spans="1:21" ht="16.5" x14ac:dyDescent="0.25">
      <c r="A83" s="9" t="s">
        <v>86</v>
      </c>
      <c r="C83" s="21">
        <f t="shared" ref="C83:E84" si="56">+S76</f>
        <v>3.0225094918804794E-2</v>
      </c>
      <c r="D83" s="21">
        <f t="shared" si="56"/>
        <v>1.9855822798937175E-2</v>
      </c>
      <c r="E83" s="21">
        <f t="shared" si="56"/>
        <v>-2.6715423302740716E-2</v>
      </c>
      <c r="Q83" s="35" t="s">
        <v>90</v>
      </c>
      <c r="R83" s="36"/>
      <c r="S83" s="18">
        <f>+R6</f>
        <v>0.86892471424727746</v>
      </c>
      <c r="T83" s="18">
        <f>+S6</f>
        <v>1.1290591249391737</v>
      </c>
      <c r="U83" s="18">
        <f>+T6</f>
        <v>0.67391115660278056</v>
      </c>
    </row>
    <row r="84" spans="1:21" ht="16.5" x14ac:dyDescent="0.25">
      <c r="A84" s="9" t="s">
        <v>87</v>
      </c>
      <c r="C84" s="21">
        <f t="shared" si="56"/>
        <v>3.1281043384802046E-2</v>
      </c>
      <c r="D84" s="21">
        <f t="shared" si="56"/>
        <v>5.6011402243094817E-3</v>
      </c>
      <c r="E84" s="21">
        <f t="shared" si="56"/>
        <v>5.7813753663495428E-3</v>
      </c>
      <c r="Q84" s="35" t="s">
        <v>91</v>
      </c>
      <c r="R84" s="36"/>
      <c r="S84" s="18">
        <f>1+S58</f>
        <v>1.628074414012429</v>
      </c>
      <c r="T84" s="18">
        <f>1+T58</f>
        <v>1.4877487940597516</v>
      </c>
      <c r="U84" s="18">
        <f>1+U58</f>
        <v>1.7250228561687315</v>
      </c>
    </row>
    <row r="85" spans="1:21" ht="16.5" x14ac:dyDescent="0.25">
      <c r="A85" s="9" t="s">
        <v>88</v>
      </c>
      <c r="C85" s="21">
        <f>+S78</f>
        <v>5.0927866378408959E-2</v>
      </c>
      <c r="D85" s="21">
        <f t="shared" ref="D85:E85" si="57">+T78</f>
        <v>8.3330896140759985E-3</v>
      </c>
      <c r="E85" s="21">
        <f t="shared" si="57"/>
        <v>9.973004647043834E-3</v>
      </c>
      <c r="Q85" s="35" t="s">
        <v>88</v>
      </c>
      <c r="R85" s="36"/>
      <c r="S85" s="23">
        <f>+S82*S83*S84</f>
        <v>5.0927866378408952E-2</v>
      </c>
      <c r="T85" s="23">
        <f>+T82*T83*T84</f>
        <v>8.3330896140759985E-3</v>
      </c>
      <c r="U85" s="23">
        <f>+U82*U83*U84</f>
        <v>9.973004647043834E-3</v>
      </c>
    </row>
    <row r="86" spans="1:21" ht="16.5" x14ac:dyDescent="0.25">
      <c r="A86" s="9"/>
      <c r="B86" s="9"/>
      <c r="C86" s="9"/>
      <c r="D86" s="9"/>
      <c r="E86" s="9"/>
      <c r="S86" t="b">
        <f>+S85=S78</f>
        <v>1</v>
      </c>
      <c r="T86" t="b">
        <f>+T85=T78</f>
        <v>1</v>
      </c>
      <c r="U86" t="b">
        <f>+U85=U78</f>
        <v>1</v>
      </c>
    </row>
    <row r="87" spans="1:21" ht="16.5" x14ac:dyDescent="0.25">
      <c r="A87" s="9" t="s">
        <v>64</v>
      </c>
      <c r="B87" s="3">
        <f>+R43</f>
        <v>24488550</v>
      </c>
      <c r="C87" s="3">
        <f t="shared" ref="C87:E87" si="58">+S43</f>
        <v>9823815</v>
      </c>
      <c r="D87" s="3">
        <f t="shared" si="58"/>
        <v>-2150322</v>
      </c>
      <c r="E87" s="3">
        <f t="shared" si="58"/>
        <v>-19870730</v>
      </c>
    </row>
    <row r="88" spans="1:21" ht="16.5" x14ac:dyDescent="0.25">
      <c r="A88" s="9" t="s">
        <v>129</v>
      </c>
      <c r="B88" s="29"/>
      <c r="C88" s="7">
        <f>+C87/B87-1</f>
        <v>-0.59884047850934419</v>
      </c>
      <c r="D88" s="7">
        <f t="shared" ref="D88:E88" si="59">+D87/C87-1</f>
        <v>-1.2188886903916656</v>
      </c>
      <c r="E88" s="7">
        <f t="shared" si="59"/>
        <v>8.2408160266229888</v>
      </c>
      <c r="S88" s="22"/>
    </row>
    <row r="89" spans="1:21" ht="16.5" x14ac:dyDescent="0.25">
      <c r="A89" s="9" t="s">
        <v>102</v>
      </c>
      <c r="B89" s="3">
        <f>+B13+B14</f>
        <v>73819307</v>
      </c>
      <c r="C89" s="3">
        <f>+C13+C14</f>
        <v>76336446</v>
      </c>
      <c r="D89" s="3">
        <f>+D13+D14</f>
        <v>91687839</v>
      </c>
      <c r="E89" s="3">
        <f>+E13+E14</f>
        <v>111305177</v>
      </c>
    </row>
    <row r="90" spans="1:21" ht="16.5" x14ac:dyDescent="0.25">
      <c r="A90" s="9" t="s">
        <v>103</v>
      </c>
      <c r="B90" s="3">
        <f>+B27</f>
        <v>0</v>
      </c>
      <c r="C90" s="3">
        <f>+C27</f>
        <v>0</v>
      </c>
      <c r="D90" s="3">
        <f>+D27</f>
        <v>307099</v>
      </c>
      <c r="E90" s="3">
        <f>+E27</f>
        <v>682620</v>
      </c>
    </row>
    <row r="91" spans="1:21" ht="16.5" x14ac:dyDescent="0.25">
      <c r="A91" s="9" t="s">
        <v>104</v>
      </c>
      <c r="B91" s="3">
        <f>+B34</f>
        <v>0</v>
      </c>
      <c r="C91" s="3">
        <f>+C34</f>
        <v>0</v>
      </c>
      <c r="D91" s="3">
        <f>+D34</f>
        <v>70929</v>
      </c>
      <c r="E91" s="3">
        <f>+E34</f>
        <v>244545</v>
      </c>
    </row>
    <row r="92" spans="1:21" ht="16.5" x14ac:dyDescent="0.25">
      <c r="A92" s="10" t="s">
        <v>105</v>
      </c>
      <c r="B92" s="4">
        <f>SUM(B90:B91)</f>
        <v>0</v>
      </c>
      <c r="C92" s="4">
        <f t="shared" ref="C92:E92" si="60">SUM(C90:C91)</f>
        <v>0</v>
      </c>
      <c r="D92" s="4">
        <f t="shared" si="60"/>
        <v>378028</v>
      </c>
      <c r="E92" s="4">
        <f t="shared" si="60"/>
        <v>927165</v>
      </c>
    </row>
    <row r="93" spans="1:21" ht="16.5" x14ac:dyDescent="0.25">
      <c r="A93" s="9" t="s">
        <v>124</v>
      </c>
      <c r="E93" s="7">
        <f t="shared" ref="E93" si="61">+E92/D92-1</f>
        <v>1.4526357835927497</v>
      </c>
    </row>
    <row r="94" spans="1:21" ht="16.5" x14ac:dyDescent="0.25">
      <c r="A94" s="9" t="s">
        <v>106</v>
      </c>
      <c r="B94" s="7">
        <f>+B92/B63</f>
        <v>0</v>
      </c>
      <c r="C94" s="7">
        <f>+C92/C63</f>
        <v>0</v>
      </c>
      <c r="D94" s="7">
        <f>+D92/D63</f>
        <v>4.813975898029714E-2</v>
      </c>
      <c r="E94" s="7">
        <f>+E92/E63</f>
        <v>0.32904830399930157</v>
      </c>
    </row>
    <row r="95" spans="1:21" ht="16.5" x14ac:dyDescent="0.25">
      <c r="A95" s="9"/>
    </row>
    <row r="96" spans="1:21" ht="16.5" x14ac:dyDescent="0.25">
      <c r="A96" s="9" t="s">
        <v>98</v>
      </c>
      <c r="B96" s="7">
        <f>+B7/B47</f>
        <v>0.10752078747075938</v>
      </c>
      <c r="C96" s="7">
        <f>+C7/C47</f>
        <v>9.6500310560924396E-2</v>
      </c>
      <c r="D96" s="7">
        <f>+D7/D47</f>
        <v>9.69891329070416E-2</v>
      </c>
      <c r="E96" s="7">
        <f>+E7/E47</f>
        <v>0.16613481428562116</v>
      </c>
    </row>
    <row r="97" spans="1:5" ht="16.5" x14ac:dyDescent="0.25">
      <c r="A97" s="9" t="s">
        <v>99</v>
      </c>
      <c r="B97" s="7">
        <f>+B6/B47</f>
        <v>0.62656709683321599</v>
      </c>
      <c r="C97" s="7">
        <f>+C6/C47</f>
        <v>0.11174923944921003</v>
      </c>
      <c r="D97" s="7">
        <f>+D6/D47</f>
        <v>9.5735893257929652E-2</v>
      </c>
      <c r="E97" s="7">
        <f>+E6/E47</f>
        <v>0.14172691909709534</v>
      </c>
    </row>
    <row r="98" spans="1:5" ht="16.5" x14ac:dyDescent="0.25">
      <c r="A98" s="9" t="s">
        <v>100</v>
      </c>
      <c r="B98" s="7">
        <f>+B25/B47</f>
        <v>0.53862210438257963</v>
      </c>
      <c r="C98" s="7">
        <f>+C25/C47</f>
        <v>0.20771963717726358</v>
      </c>
      <c r="D98" s="7">
        <f>+D25/D47</f>
        <v>0.22812480127056145</v>
      </c>
      <c r="E98" s="7">
        <f>+E25/E47</f>
        <v>0.64175732695680809</v>
      </c>
    </row>
    <row r="99" spans="1:5" ht="16.5" x14ac:dyDescent="0.25">
      <c r="A99" s="9" t="s">
        <v>101</v>
      </c>
      <c r="B99" s="7">
        <f>+B87/B47</f>
        <v>0.21498231742555221</v>
      </c>
      <c r="C99" s="7">
        <f>+C87/C47</f>
        <v>8.2218801507504755E-2</v>
      </c>
      <c r="D99" s="7">
        <f>+D87/D47</f>
        <v>-1.6263835728816598E-2</v>
      </c>
      <c r="E99" s="7">
        <f>+E87/E47</f>
        <v>-0.21518033127803779</v>
      </c>
    </row>
    <row r="101" spans="1:5" ht="16.5" x14ac:dyDescent="0.25">
      <c r="B101" s="2">
        <v>2018</v>
      </c>
      <c r="C101" s="2">
        <v>2019</v>
      </c>
      <c r="D101" s="2">
        <v>2020</v>
      </c>
    </row>
    <row r="102" spans="1:5" ht="16.5" x14ac:dyDescent="0.25">
      <c r="A102" s="9" t="s">
        <v>131</v>
      </c>
      <c r="B102" s="20">
        <f>+R18</f>
        <v>40.907675549999297</v>
      </c>
      <c r="C102" s="20">
        <f>+S18</f>
        <v>37.415670423982839</v>
      </c>
      <c r="D102" s="20">
        <f>+T18</f>
        <v>59.00321973112392</v>
      </c>
    </row>
    <row r="103" spans="1:5" ht="16.5" x14ac:dyDescent="0.25">
      <c r="A103" s="9" t="s">
        <v>132</v>
      </c>
      <c r="B103" s="20">
        <f>+R24</f>
        <v>129.40810453955928</v>
      </c>
      <c r="C103" s="20">
        <f>+S24</f>
        <v>35.902251372719341</v>
      </c>
      <c r="D103" s="20">
        <f>+T24</f>
        <v>50.880532755015111</v>
      </c>
    </row>
    <row r="104" spans="1:5" ht="16.5" x14ac:dyDescent="0.25">
      <c r="A104" s="9" t="s">
        <v>133</v>
      </c>
      <c r="B104" s="20">
        <f>+S32</f>
        <v>149.26293226431522</v>
      </c>
      <c r="C104" s="20">
        <f>+T32</f>
        <v>83.559743201079698</v>
      </c>
      <c r="D104" s="20">
        <f>+U32</f>
        <v>182.07261818987354</v>
      </c>
    </row>
    <row r="105" spans="1:5" ht="16.5" x14ac:dyDescent="0.25">
      <c r="A105" s="10" t="s">
        <v>134</v>
      </c>
      <c r="B105" s="30">
        <f>+B102+B103-B104</f>
        <v>21.052847825243362</v>
      </c>
      <c r="C105" s="30">
        <f t="shared" ref="C105:D105" si="62">+C102+C103-C104</f>
        <v>-10.241821404377518</v>
      </c>
      <c r="D105" s="30">
        <f t="shared" si="62"/>
        <v>-72.188865703734507</v>
      </c>
    </row>
    <row r="107" spans="1:5" ht="16.5" x14ac:dyDescent="0.25">
      <c r="B107" s="2">
        <v>2018</v>
      </c>
      <c r="C107" s="2">
        <v>2019</v>
      </c>
      <c r="D107" s="2">
        <v>2020</v>
      </c>
    </row>
    <row r="108" spans="1:5" ht="16.5" x14ac:dyDescent="0.25">
      <c r="A108" s="9" t="s">
        <v>90</v>
      </c>
      <c r="B108" s="18">
        <f>+R6</f>
        <v>0.86892471424727746</v>
      </c>
      <c r="C108" s="18">
        <f t="shared" ref="C108:D108" si="63">+S6</f>
        <v>1.1290591249391737</v>
      </c>
      <c r="D108" s="18">
        <f t="shared" si="63"/>
        <v>0.67391115660278056</v>
      </c>
    </row>
    <row r="109" spans="1:5" ht="16.5" x14ac:dyDescent="0.25">
      <c r="A109" s="9" t="s">
        <v>135</v>
      </c>
      <c r="B109" s="18">
        <f>+S12</f>
        <v>1.5914648571606844</v>
      </c>
      <c r="C109" s="18">
        <f t="shared" ref="C109:D109" si="64">+T12</f>
        <v>1.5737598407277853</v>
      </c>
      <c r="D109" s="18">
        <f t="shared" si="64"/>
        <v>0.90982978448874319</v>
      </c>
    </row>
  </sheetData>
  <mergeCells count="14">
    <mergeCell ref="Q84:R84"/>
    <mergeCell ref="Q85:R85"/>
    <mergeCell ref="Q48:U48"/>
    <mergeCell ref="Q55:U55"/>
    <mergeCell ref="Q68:U68"/>
    <mergeCell ref="Q80:U80"/>
    <mergeCell ref="Q82:R82"/>
    <mergeCell ref="Q83:R83"/>
    <mergeCell ref="F3:I3"/>
    <mergeCell ref="J3:L3"/>
    <mergeCell ref="M3:O3"/>
    <mergeCell ref="F45:I45"/>
    <mergeCell ref="J45:L45"/>
    <mergeCell ref="M45:O45"/>
  </mergeCells>
  <pageMargins left="0.7" right="0.7" top="0.75" bottom="0.75" header="0.3" footer="0.3"/>
  <ignoredErrors>
    <ignoredError sqref="B11:E11 R16:T16 R22:T22 S30:U30" formulaRange="1"/>
    <ignoredError sqref="B72:B74 B70:E7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2022-01-11T23:40:23Z</dcterms:created>
  <dcterms:modified xsi:type="dcterms:W3CDTF">2022-01-14T02:08:13Z</dcterms:modified>
</cp:coreProperties>
</file>